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4240" windowHeight="13740" tabRatio="500"/>
  </bookViews>
  <sheets>
    <sheet name="измененияфевраль 2025 г на 2025" sheetId="1" r:id="rId1"/>
    <sheet name="изменения январь 2025 г на 2025" sheetId="2" r:id="rId2"/>
    <sheet name="ПРОЕКТ на 2025-2027 гг" sheetId="3" r:id="rId3"/>
    <sheet name="Лист1" sheetId="4" r:id="rId4"/>
    <sheet name="в ксп" sheetId="5" r:id="rId5"/>
  </sheets>
  <externalReferences>
    <externalReference r:id="rId6"/>
    <externalReference r:id="rId7"/>
  </externalReferences>
  <definedNames>
    <definedName name="_xlnm._FilterDatabase" localSheetId="4" hidden="1">'в ксп'!$A$4:$F$112</definedName>
    <definedName name="_xlnm._FilterDatabase" localSheetId="1" hidden="1">'[1]изменения январь 2025 г на 2025'!$A$8:$K$116</definedName>
    <definedName name="_xlnm._FilterDatabase" localSheetId="0" hidden="1">'[2]измененияфевраль 2025 г на 2025'!$A$8:$K$116</definedName>
    <definedName name="_xlnm._FilterDatabase" localSheetId="2" hidden="1">'ПРОЕКТ на 2025-2027 гг'!$A$8:$K$110</definedName>
    <definedName name="Excel_BuiltIn__FilterDatabase" localSheetId="4">'в ксп'!$A$4:$F$106</definedName>
    <definedName name="Excel_BuiltIn__FilterDatabase" localSheetId="1">'[1]изменения январь 2025 г на 2025'!$A$8:$K$110</definedName>
    <definedName name="Excel_BuiltIn__FilterDatabase" localSheetId="0">'[2]измененияфевраль 2025 г на 2025'!$A$8:$K$110</definedName>
    <definedName name="Excel_BuiltIn__FilterDatabase" localSheetId="2">'ПРОЕКТ на 2025-2027 гг'!$A$8:$K$104</definedName>
    <definedName name="Excel_BuiltIn_Print_Area" localSheetId="4">'в ксп'!$A$1:$F$117</definedName>
    <definedName name="Excel_BuiltIn_Print_Area" localSheetId="1">'[1]изменения январь 2025 г на 2025'!$A$1:$K$121</definedName>
    <definedName name="Excel_BuiltIn_Print_Area" localSheetId="0">'[2]измененияфевраль 2025 г на 2025'!$A$1:$K$121</definedName>
    <definedName name="Excel_BuiltIn_Print_Area" localSheetId="2">'ПРОЕКТ на 2025-2027 гг'!$A$1:$K$115</definedName>
    <definedName name="Excel_BuiltIn_Print_Titles" localSheetId="4">'в ксп'!$3:$4</definedName>
    <definedName name="Excel_BuiltIn_Print_Titles" localSheetId="1">'[1]изменения январь 2025 г на 2025'!$7:$8</definedName>
    <definedName name="Excel_BuiltIn_Print_Titles" localSheetId="0">'[2]измененияфевраль 2025 г на 2025'!$7:$8</definedName>
    <definedName name="Excel_BuiltIn_Print_Titles" localSheetId="2">'ПРОЕКТ на 2025-2027 гг'!$7:$8</definedName>
  </definedNames>
  <calcPr calcId="14562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112" i="5" l="1"/>
  <c r="E111" i="5"/>
  <c r="F111" i="5" s="1"/>
  <c r="D111" i="5"/>
  <c r="E110" i="5"/>
  <c r="F110" i="5" s="1"/>
  <c r="F109" i="5"/>
  <c r="F108" i="5"/>
  <c r="E107" i="5"/>
  <c r="F107" i="5" s="1"/>
  <c r="D107" i="5"/>
  <c r="D106" i="5"/>
  <c r="D103" i="5" s="1"/>
  <c r="F105" i="5"/>
  <c r="F104" i="5"/>
  <c r="F102" i="5"/>
  <c r="E101" i="5"/>
  <c r="F101" i="5" s="1"/>
  <c r="D101" i="5"/>
  <c r="F100" i="5"/>
  <c r="F99" i="5"/>
  <c r="F98" i="5"/>
  <c r="F97" i="5"/>
  <c r="E97" i="5"/>
  <c r="D97" i="5"/>
  <c r="F96" i="5"/>
  <c r="F95" i="5"/>
  <c r="F94" i="5"/>
  <c r="E93" i="5"/>
  <c r="F93" i="5" s="1"/>
  <c r="D93" i="5"/>
  <c r="F92" i="5"/>
  <c r="F91" i="5"/>
  <c r="F90" i="5"/>
  <c r="F89" i="5"/>
  <c r="E89" i="5"/>
  <c r="D89" i="5"/>
  <c r="F88" i="5"/>
  <c r="F87" i="5"/>
  <c r="E87" i="5"/>
  <c r="D87" i="5"/>
  <c r="F86" i="5"/>
  <c r="F85" i="5"/>
  <c r="F84" i="5"/>
  <c r="E83" i="5"/>
  <c r="F83" i="5" s="1"/>
  <c r="D83" i="5"/>
  <c r="F82" i="5"/>
  <c r="F81" i="5"/>
  <c r="F80" i="5"/>
  <c r="E80" i="5"/>
  <c r="D80" i="5"/>
  <c r="F79" i="5"/>
  <c r="F78" i="5"/>
  <c r="F77" i="5"/>
  <c r="E77" i="5"/>
  <c r="D77" i="5"/>
  <c r="F76" i="5"/>
  <c r="F75" i="5"/>
  <c r="E75" i="5"/>
  <c r="D75" i="5"/>
  <c r="F74" i="5"/>
  <c r="F73" i="5"/>
  <c r="E73" i="5"/>
  <c r="D73" i="5"/>
  <c r="F72" i="5"/>
  <c r="F71" i="5"/>
  <c r="F70" i="5"/>
  <c r="E69" i="5"/>
  <c r="F69" i="5" s="1"/>
  <c r="D69" i="5"/>
  <c r="F68" i="5"/>
  <c r="E67" i="5"/>
  <c r="F67" i="5" s="1"/>
  <c r="D67" i="5"/>
  <c r="F66" i="5"/>
  <c r="E66" i="5"/>
  <c r="F65" i="5"/>
  <c r="F64" i="5"/>
  <c r="E63" i="5"/>
  <c r="D63" i="5"/>
  <c r="F63" i="5" s="1"/>
  <c r="F62" i="5"/>
  <c r="F61" i="5"/>
  <c r="F60" i="5"/>
  <c r="F59" i="5"/>
  <c r="F58" i="5"/>
  <c r="E57" i="5"/>
  <c r="D57" i="5"/>
  <c r="F57" i="5" s="1"/>
  <c r="F56" i="5"/>
  <c r="E55" i="5"/>
  <c r="D55" i="5"/>
  <c r="F55" i="5" s="1"/>
  <c r="F54" i="5"/>
  <c r="E53" i="5"/>
  <c r="D53" i="5"/>
  <c r="F53" i="5" s="1"/>
  <c r="F52" i="5"/>
  <c r="F51" i="5"/>
  <c r="F50" i="5"/>
  <c r="F49" i="5"/>
  <c r="E49" i="5"/>
  <c r="D49" i="5"/>
  <c r="F48" i="5"/>
  <c r="F47" i="5"/>
  <c r="F46" i="5"/>
  <c r="F45" i="5"/>
  <c r="E44" i="5"/>
  <c r="F44" i="5" s="1"/>
  <c r="D44" i="5"/>
  <c r="F43" i="5"/>
  <c r="F42" i="5"/>
  <c r="F41" i="5"/>
  <c r="F40" i="5"/>
  <c r="E39" i="5"/>
  <c r="D39" i="5"/>
  <c r="F39" i="5" s="1"/>
  <c r="F38" i="5"/>
  <c r="F37" i="5"/>
  <c r="F36" i="5"/>
  <c r="F35" i="5"/>
  <c r="E35" i="5"/>
  <c r="D35" i="5"/>
  <c r="F34" i="5"/>
  <c r="F33" i="5"/>
  <c r="F32" i="5"/>
  <c r="E31" i="5"/>
  <c r="D31" i="5"/>
  <c r="F31" i="5" s="1"/>
  <c r="F30" i="5"/>
  <c r="E29" i="5"/>
  <c r="D29" i="5"/>
  <c r="F29" i="5" s="1"/>
  <c r="F28" i="5"/>
  <c r="E27" i="5"/>
  <c r="D27" i="5"/>
  <c r="F27" i="5" s="1"/>
  <c r="F26" i="5"/>
  <c r="E25" i="5"/>
  <c r="D25" i="5"/>
  <c r="F25" i="5" s="1"/>
  <c r="F24" i="5"/>
  <c r="E24" i="5"/>
  <c r="F23" i="5"/>
  <c r="F22" i="5"/>
  <c r="E22" i="5"/>
  <c r="D22" i="5"/>
  <c r="E21" i="5"/>
  <c r="F21" i="5" s="1"/>
  <c r="D21" i="5"/>
  <c r="F20" i="5"/>
  <c r="E19" i="5"/>
  <c r="F19" i="5" s="1"/>
  <c r="D19" i="5"/>
  <c r="F18" i="5"/>
  <c r="E17" i="5"/>
  <c r="F17" i="5" s="1"/>
  <c r="D17" i="5"/>
  <c r="F16" i="5"/>
  <c r="E16" i="5"/>
  <c r="F15" i="5"/>
  <c r="F14" i="5"/>
  <c r="E13" i="5"/>
  <c r="D13" i="5"/>
  <c r="F13" i="5" s="1"/>
  <c r="F12" i="5"/>
  <c r="E12" i="5"/>
  <c r="D12" i="5"/>
  <c r="F11" i="5"/>
  <c r="E11" i="5"/>
  <c r="D11" i="5"/>
  <c r="E10" i="5"/>
  <c r="F10" i="5" s="1"/>
  <c r="D10" i="5"/>
  <c r="D9" i="5"/>
  <c r="D8" i="5"/>
  <c r="F7" i="5"/>
  <c r="E7" i="5"/>
  <c r="D7" i="5"/>
  <c r="E6" i="5"/>
  <c r="F6" i="5" s="1"/>
  <c r="D6" i="5"/>
  <c r="D5" i="5"/>
  <c r="G110" i="3"/>
  <c r="F110" i="3"/>
  <c r="F109" i="3" s="1"/>
  <c r="E110" i="3"/>
  <c r="E109" i="3" s="1"/>
  <c r="J109" i="3"/>
  <c r="I109" i="3"/>
  <c r="H109" i="3"/>
  <c r="G109" i="3"/>
  <c r="D109" i="3"/>
  <c r="G108" i="3"/>
  <c r="G105" i="3" s="1"/>
  <c r="E108" i="3"/>
  <c r="D108" i="3"/>
  <c r="K108" i="3" s="1"/>
  <c r="K107" i="3"/>
  <c r="K106" i="3"/>
  <c r="J105" i="3"/>
  <c r="I105" i="3"/>
  <c r="H105" i="3"/>
  <c r="F105" i="3"/>
  <c r="E105" i="3"/>
  <c r="J104" i="3"/>
  <c r="J101" i="3" s="1"/>
  <c r="I104" i="3"/>
  <c r="I101" i="3" s="1"/>
  <c r="H104" i="3"/>
  <c r="F104" i="3"/>
  <c r="F12" i="3" s="1"/>
  <c r="D104" i="3"/>
  <c r="K103" i="3"/>
  <c r="K102" i="3"/>
  <c r="H101" i="3"/>
  <c r="D101" i="3"/>
  <c r="G100" i="3"/>
  <c r="G97" i="3" s="1"/>
  <c r="F100" i="3"/>
  <c r="E100" i="3"/>
  <c r="K100" i="3" s="1"/>
  <c r="K99" i="3"/>
  <c r="K98" i="3"/>
  <c r="J97" i="3"/>
  <c r="I97" i="3"/>
  <c r="H97" i="3"/>
  <c r="F97" i="3"/>
  <c r="D97" i="3"/>
  <c r="G96" i="3"/>
  <c r="G93" i="3" s="1"/>
  <c r="E96" i="3"/>
  <c r="K96" i="3" s="1"/>
  <c r="K95" i="3"/>
  <c r="G95" i="3"/>
  <c r="K94" i="3"/>
  <c r="J93" i="3"/>
  <c r="I93" i="3"/>
  <c r="H93" i="3"/>
  <c r="F93" i="3"/>
  <c r="D93" i="3"/>
  <c r="E92" i="3"/>
  <c r="K92" i="3" s="1"/>
  <c r="J91" i="3"/>
  <c r="I91" i="3"/>
  <c r="H91" i="3"/>
  <c r="G91" i="3"/>
  <c r="F91" i="3"/>
  <c r="D91" i="3"/>
  <c r="G90" i="3"/>
  <c r="K90" i="3" s="1"/>
  <c r="E89" i="3"/>
  <c r="K89" i="3" s="1"/>
  <c r="K88" i="3"/>
  <c r="J87" i="3"/>
  <c r="I87" i="3"/>
  <c r="H87" i="3"/>
  <c r="G87" i="3"/>
  <c r="K87" i="3" s="1"/>
  <c r="F87" i="3"/>
  <c r="E87" i="3"/>
  <c r="D87" i="3"/>
  <c r="K86" i="3"/>
  <c r="K85" i="3"/>
  <c r="I84" i="3"/>
  <c r="H84" i="3"/>
  <c r="K84" i="3" s="1"/>
  <c r="G84" i="3"/>
  <c r="K83" i="3"/>
  <c r="F83" i="3"/>
  <c r="K82" i="3"/>
  <c r="I81" i="3"/>
  <c r="H81" i="3"/>
  <c r="F81" i="3"/>
  <c r="K81" i="3" s="1"/>
  <c r="K80" i="3"/>
  <c r="J79" i="3"/>
  <c r="I79" i="3"/>
  <c r="H79" i="3"/>
  <c r="G79" i="3"/>
  <c r="K79" i="3" s="1"/>
  <c r="K78" i="3"/>
  <c r="J77" i="3"/>
  <c r="I77" i="3"/>
  <c r="H77" i="3"/>
  <c r="G77" i="3"/>
  <c r="K77" i="3" s="1"/>
  <c r="F77" i="3"/>
  <c r="E77" i="3"/>
  <c r="K76" i="3"/>
  <c r="K75" i="3"/>
  <c r="K74" i="3"/>
  <c r="I73" i="3"/>
  <c r="H73" i="3"/>
  <c r="G73" i="3"/>
  <c r="F73" i="3"/>
  <c r="E73" i="3"/>
  <c r="D73" i="3"/>
  <c r="K73" i="3" s="1"/>
  <c r="G72" i="3"/>
  <c r="G71" i="3" s="1"/>
  <c r="F72" i="3"/>
  <c r="E72" i="3"/>
  <c r="E71" i="3" s="1"/>
  <c r="J71" i="3"/>
  <c r="I71" i="3"/>
  <c r="H71" i="3"/>
  <c r="F71" i="3"/>
  <c r="D71" i="3"/>
  <c r="G70" i="3"/>
  <c r="F70" i="3"/>
  <c r="E70" i="3"/>
  <c r="K70" i="3" s="1"/>
  <c r="G69" i="3"/>
  <c r="F69" i="3"/>
  <c r="E69" i="3"/>
  <c r="K69" i="3" s="1"/>
  <c r="K68" i="3"/>
  <c r="J67" i="3"/>
  <c r="I67" i="3"/>
  <c r="H67" i="3"/>
  <c r="G67" i="3"/>
  <c r="F67" i="3"/>
  <c r="E67" i="3"/>
  <c r="K67" i="3" s="1"/>
  <c r="D67" i="3"/>
  <c r="K66" i="3"/>
  <c r="K65" i="3"/>
  <c r="K64" i="3"/>
  <c r="J63" i="3"/>
  <c r="K63" i="3" s="1"/>
  <c r="G62" i="3"/>
  <c r="K62" i="3" s="1"/>
  <c r="J61" i="3"/>
  <c r="I61" i="3"/>
  <c r="H61" i="3"/>
  <c r="G60" i="3"/>
  <c r="F60" i="3"/>
  <c r="K60" i="3" s="1"/>
  <c r="J59" i="3"/>
  <c r="I59" i="3"/>
  <c r="H59" i="3"/>
  <c r="G59" i="3"/>
  <c r="G58" i="3"/>
  <c r="K58" i="3" s="1"/>
  <c r="J57" i="3"/>
  <c r="I57" i="3"/>
  <c r="H57" i="3"/>
  <c r="K56" i="3"/>
  <c r="K55" i="3"/>
  <c r="K54" i="3"/>
  <c r="J53" i="3"/>
  <c r="I53" i="3"/>
  <c r="H53" i="3"/>
  <c r="G53" i="3"/>
  <c r="F53" i="3"/>
  <c r="K53" i="3" s="1"/>
  <c r="E53" i="3"/>
  <c r="K52" i="3"/>
  <c r="E52" i="3"/>
  <c r="E51" i="3" s="1"/>
  <c r="K51" i="3" s="1"/>
  <c r="K50" i="3"/>
  <c r="K49" i="3"/>
  <c r="J48" i="3"/>
  <c r="I48" i="3"/>
  <c r="H48" i="3"/>
  <c r="G48" i="3"/>
  <c r="K48" i="3" s="1"/>
  <c r="F48" i="3"/>
  <c r="K47" i="3"/>
  <c r="K46" i="3"/>
  <c r="K45" i="3"/>
  <c r="E45" i="3"/>
  <c r="G44" i="3"/>
  <c r="F44" i="3"/>
  <c r="E44" i="3"/>
  <c r="D44" i="3"/>
  <c r="K44" i="3" s="1"/>
  <c r="J43" i="3"/>
  <c r="I43" i="3"/>
  <c r="H43" i="3"/>
  <c r="G43" i="3"/>
  <c r="F43" i="3"/>
  <c r="E43" i="3"/>
  <c r="D43" i="3"/>
  <c r="K43" i="3" s="1"/>
  <c r="D42" i="3"/>
  <c r="K42" i="3" s="1"/>
  <c r="D41" i="3"/>
  <c r="K41" i="3" s="1"/>
  <c r="D40" i="3"/>
  <c r="K40" i="3" s="1"/>
  <c r="I39" i="3"/>
  <c r="H39" i="3"/>
  <c r="G39" i="3"/>
  <c r="F39" i="3"/>
  <c r="E39" i="3"/>
  <c r="G38" i="3"/>
  <c r="F38" i="3"/>
  <c r="K38" i="3" s="1"/>
  <c r="G37" i="3"/>
  <c r="K37" i="3" s="1"/>
  <c r="F37" i="3"/>
  <c r="K36" i="3"/>
  <c r="G36" i="3"/>
  <c r="G35" i="3" s="1"/>
  <c r="F36" i="3"/>
  <c r="J35" i="3"/>
  <c r="I35" i="3"/>
  <c r="H35" i="3"/>
  <c r="F35" i="3"/>
  <c r="E35" i="3"/>
  <c r="D35" i="3"/>
  <c r="G34" i="3"/>
  <c r="K34" i="3" s="1"/>
  <c r="J33" i="3"/>
  <c r="I33" i="3"/>
  <c r="H33" i="3"/>
  <c r="K32" i="3"/>
  <c r="E32" i="3"/>
  <c r="I31" i="3"/>
  <c r="H31" i="3"/>
  <c r="G31" i="3"/>
  <c r="F31" i="3"/>
  <c r="K31" i="3" s="1"/>
  <c r="E31" i="3"/>
  <c r="D31" i="3"/>
  <c r="E30" i="3"/>
  <c r="J29" i="3"/>
  <c r="I29" i="3"/>
  <c r="H29" i="3"/>
  <c r="G29" i="3"/>
  <c r="F29" i="3"/>
  <c r="D29" i="3"/>
  <c r="J28" i="3"/>
  <c r="J16" i="3" s="1"/>
  <c r="J12" i="3" s="1"/>
  <c r="G28" i="3"/>
  <c r="E28" i="3"/>
  <c r="J27" i="3"/>
  <c r="J15" i="3" s="1"/>
  <c r="J11" i="3" s="1"/>
  <c r="G27" i="3"/>
  <c r="E27" i="3"/>
  <c r="J26" i="3"/>
  <c r="J14" i="3" s="1"/>
  <c r="I26" i="3"/>
  <c r="I25" i="3" s="1"/>
  <c r="H26" i="3"/>
  <c r="G26" i="3"/>
  <c r="E26" i="3"/>
  <c r="J25" i="3"/>
  <c r="G25" i="3"/>
  <c r="F25" i="3"/>
  <c r="D25" i="3"/>
  <c r="E24" i="3"/>
  <c r="I23" i="3"/>
  <c r="H23" i="3"/>
  <c r="G23" i="3"/>
  <c r="F23" i="3"/>
  <c r="D23" i="3"/>
  <c r="K22" i="3"/>
  <c r="G22" i="3"/>
  <c r="F22" i="3"/>
  <c r="J21" i="3"/>
  <c r="I21" i="3"/>
  <c r="H21" i="3"/>
  <c r="G21" i="3"/>
  <c r="F21" i="3"/>
  <c r="E21" i="3"/>
  <c r="D21" i="3"/>
  <c r="G20" i="3"/>
  <c r="G16" i="3" s="1"/>
  <c r="F20" i="3"/>
  <c r="E20" i="3"/>
  <c r="G19" i="3"/>
  <c r="F19" i="3"/>
  <c r="E19" i="3"/>
  <c r="K19" i="3" s="1"/>
  <c r="K18" i="3"/>
  <c r="J17" i="3"/>
  <c r="I17" i="3"/>
  <c r="H17" i="3"/>
  <c r="F17" i="3"/>
  <c r="E17" i="3"/>
  <c r="D17" i="3"/>
  <c r="I16" i="3"/>
  <c r="H16" i="3"/>
  <c r="F16" i="3"/>
  <c r="D16" i="3"/>
  <c r="I15" i="3"/>
  <c r="H15" i="3"/>
  <c r="G15" i="3"/>
  <c r="G11" i="3" s="1"/>
  <c r="F15" i="3"/>
  <c r="D15" i="3"/>
  <c r="I14" i="3"/>
  <c r="G14" i="3"/>
  <c r="F14" i="3"/>
  <c r="E14" i="3"/>
  <c r="D14" i="3"/>
  <c r="I13" i="3"/>
  <c r="F13" i="3"/>
  <c r="D13" i="3"/>
  <c r="I12" i="3"/>
  <c r="H12" i="3"/>
  <c r="D12" i="3"/>
  <c r="I11" i="3"/>
  <c r="H11" i="3"/>
  <c r="F11" i="3"/>
  <c r="D11" i="3"/>
  <c r="I10" i="3"/>
  <c r="I9" i="3" s="1"/>
  <c r="F10" i="3"/>
  <c r="E10" i="3"/>
  <c r="D10" i="3"/>
  <c r="F9" i="3"/>
  <c r="D9" i="3"/>
  <c r="G116" i="2"/>
  <c r="G115" i="2" s="1"/>
  <c r="F116" i="2"/>
  <c r="E116" i="2"/>
  <c r="K116" i="2" s="1"/>
  <c r="J115" i="2"/>
  <c r="I115" i="2"/>
  <c r="H115" i="2"/>
  <c r="F115" i="2"/>
  <c r="D115" i="2"/>
  <c r="G114" i="2"/>
  <c r="E114" i="2"/>
  <c r="D114" i="2"/>
  <c r="K114" i="2" s="1"/>
  <c r="K113" i="2"/>
  <c r="K112" i="2"/>
  <c r="J111" i="2"/>
  <c r="I111" i="2"/>
  <c r="H111" i="2"/>
  <c r="F111" i="2"/>
  <c r="E111" i="2"/>
  <c r="D111" i="2"/>
  <c r="J110" i="2"/>
  <c r="I110" i="2"/>
  <c r="H110" i="2"/>
  <c r="H107" i="2" s="1"/>
  <c r="F110" i="2"/>
  <c r="D110" i="2"/>
  <c r="K109" i="2"/>
  <c r="K108" i="2"/>
  <c r="J107" i="2"/>
  <c r="I107" i="2"/>
  <c r="F107" i="2"/>
  <c r="K106" i="2"/>
  <c r="K105" i="2"/>
  <c r="J105" i="2"/>
  <c r="I105" i="2"/>
  <c r="H105" i="2"/>
  <c r="K104" i="2"/>
  <c r="G104" i="2"/>
  <c r="F104" i="2"/>
  <c r="F101" i="2" s="1"/>
  <c r="E104" i="2"/>
  <c r="K103" i="2"/>
  <c r="K102" i="2"/>
  <c r="J101" i="2"/>
  <c r="I101" i="2"/>
  <c r="H101" i="2"/>
  <c r="G101" i="2"/>
  <c r="K101" i="2" s="1"/>
  <c r="E101" i="2"/>
  <c r="D101" i="2"/>
  <c r="K100" i="2"/>
  <c r="K99" i="2"/>
  <c r="K98" i="2"/>
  <c r="J97" i="2"/>
  <c r="I97" i="2"/>
  <c r="H97" i="2"/>
  <c r="G97" i="2"/>
  <c r="F97" i="2"/>
  <c r="E97" i="2"/>
  <c r="D97" i="2"/>
  <c r="G96" i="2"/>
  <c r="G93" i="2" s="1"/>
  <c r="E96" i="2"/>
  <c r="K96" i="2" s="1"/>
  <c r="K95" i="2"/>
  <c r="G95" i="2"/>
  <c r="K94" i="2"/>
  <c r="J93" i="2"/>
  <c r="I93" i="2"/>
  <c r="H93" i="2"/>
  <c r="F93" i="2"/>
  <c r="E93" i="2"/>
  <c r="D93" i="2"/>
  <c r="K93" i="2" s="1"/>
  <c r="E92" i="2"/>
  <c r="J91" i="2"/>
  <c r="I91" i="2"/>
  <c r="H91" i="2"/>
  <c r="G91" i="2"/>
  <c r="F91" i="2"/>
  <c r="D91" i="2"/>
  <c r="G90" i="2"/>
  <c r="K90" i="2" s="1"/>
  <c r="E89" i="2"/>
  <c r="K89" i="2" s="1"/>
  <c r="K88" i="2"/>
  <c r="J87" i="2"/>
  <c r="I87" i="2"/>
  <c r="H87" i="2"/>
  <c r="F87" i="2"/>
  <c r="E87" i="2"/>
  <c r="D87" i="2"/>
  <c r="K86" i="2"/>
  <c r="K85" i="2"/>
  <c r="I84" i="2"/>
  <c r="H84" i="2"/>
  <c r="K84" i="2" s="1"/>
  <c r="G84" i="2"/>
  <c r="K83" i="2"/>
  <c r="F83" i="2"/>
  <c r="K82" i="2"/>
  <c r="I81" i="2"/>
  <c r="H81" i="2"/>
  <c r="F81" i="2"/>
  <c r="K80" i="2"/>
  <c r="J79" i="2"/>
  <c r="I79" i="2"/>
  <c r="H79" i="2"/>
  <c r="G79" i="2"/>
  <c r="K79" i="2" s="1"/>
  <c r="K78" i="2"/>
  <c r="J77" i="2"/>
  <c r="I77" i="2"/>
  <c r="H77" i="2"/>
  <c r="G77" i="2"/>
  <c r="F77" i="2"/>
  <c r="E77" i="2"/>
  <c r="K77" i="2" s="1"/>
  <c r="K76" i="2"/>
  <c r="K75" i="2"/>
  <c r="K74" i="2"/>
  <c r="I73" i="2"/>
  <c r="H73" i="2"/>
  <c r="G73" i="2"/>
  <c r="F73" i="2"/>
  <c r="K73" i="2" s="1"/>
  <c r="E73" i="2"/>
  <c r="D73" i="2"/>
  <c r="G72" i="2"/>
  <c r="G71" i="2" s="1"/>
  <c r="F72" i="2"/>
  <c r="E72" i="2"/>
  <c r="J71" i="2"/>
  <c r="I71" i="2"/>
  <c r="H71" i="2"/>
  <c r="F71" i="2"/>
  <c r="D71" i="2"/>
  <c r="G70" i="2"/>
  <c r="G67" i="2" s="1"/>
  <c r="F70" i="2"/>
  <c r="E70" i="2"/>
  <c r="G69" i="2"/>
  <c r="F69" i="2"/>
  <c r="E69" i="2"/>
  <c r="K69" i="2" s="1"/>
  <c r="K68" i="2"/>
  <c r="J67" i="2"/>
  <c r="I67" i="2"/>
  <c r="H67" i="2"/>
  <c r="F67" i="2"/>
  <c r="E67" i="2"/>
  <c r="D67" i="2"/>
  <c r="K66" i="2"/>
  <c r="K65" i="2"/>
  <c r="K64" i="2"/>
  <c r="J63" i="2"/>
  <c r="K63" i="2" s="1"/>
  <c r="G62" i="2"/>
  <c r="J61" i="2"/>
  <c r="I61" i="2"/>
  <c r="H61" i="2"/>
  <c r="G60" i="2"/>
  <c r="G59" i="2" s="1"/>
  <c r="F60" i="2"/>
  <c r="K60" i="2" s="1"/>
  <c r="J59" i="2"/>
  <c r="I59" i="2"/>
  <c r="H59" i="2"/>
  <c r="F59" i="2"/>
  <c r="K59" i="2" s="1"/>
  <c r="G58" i="2"/>
  <c r="J57" i="2"/>
  <c r="I57" i="2"/>
  <c r="H57" i="2"/>
  <c r="K56" i="2"/>
  <c r="K55" i="2"/>
  <c r="K54" i="2"/>
  <c r="J53" i="2"/>
  <c r="I53" i="2"/>
  <c r="H53" i="2"/>
  <c r="G53" i="2"/>
  <c r="F53" i="2"/>
  <c r="E53" i="2"/>
  <c r="K52" i="2"/>
  <c r="E52" i="2"/>
  <c r="K51" i="2"/>
  <c r="E51" i="2"/>
  <c r="K50" i="2"/>
  <c r="K49" i="2"/>
  <c r="J48" i="2"/>
  <c r="I48" i="2"/>
  <c r="H48" i="2"/>
  <c r="G48" i="2"/>
  <c r="K48" i="2" s="1"/>
  <c r="F48" i="2"/>
  <c r="K47" i="2"/>
  <c r="K46" i="2"/>
  <c r="K45" i="2"/>
  <c r="E45" i="2"/>
  <c r="G44" i="2"/>
  <c r="F44" i="2"/>
  <c r="F43" i="2" s="1"/>
  <c r="E44" i="2"/>
  <c r="D44" i="2"/>
  <c r="D43" i="2" s="1"/>
  <c r="J43" i="2"/>
  <c r="I43" i="2"/>
  <c r="H43" i="2"/>
  <c r="G43" i="2"/>
  <c r="E43" i="2"/>
  <c r="D42" i="2"/>
  <c r="K42" i="2" s="1"/>
  <c r="D41" i="2"/>
  <c r="K41" i="2" s="1"/>
  <c r="D40" i="2"/>
  <c r="I39" i="2"/>
  <c r="H39" i="2"/>
  <c r="G39" i="2"/>
  <c r="F39" i="2"/>
  <c r="E39" i="2"/>
  <c r="G38" i="2"/>
  <c r="F38" i="2"/>
  <c r="F35" i="2" s="1"/>
  <c r="G37" i="2"/>
  <c r="G35" i="2" s="1"/>
  <c r="F37" i="2"/>
  <c r="K37" i="2" s="1"/>
  <c r="K36" i="2"/>
  <c r="G36" i="2"/>
  <c r="F36" i="2"/>
  <c r="J35" i="2"/>
  <c r="I35" i="2"/>
  <c r="H35" i="2"/>
  <c r="E35" i="2"/>
  <c r="D35" i="2"/>
  <c r="G34" i="2"/>
  <c r="J33" i="2"/>
  <c r="I33" i="2"/>
  <c r="H33" i="2"/>
  <c r="K32" i="2"/>
  <c r="E32" i="2"/>
  <c r="I31" i="2"/>
  <c r="H31" i="2"/>
  <c r="G31" i="2"/>
  <c r="F31" i="2"/>
  <c r="E31" i="2"/>
  <c r="D31" i="2"/>
  <c r="K31" i="2" s="1"/>
  <c r="E30" i="2"/>
  <c r="K30" i="2" s="1"/>
  <c r="J29" i="2"/>
  <c r="I29" i="2"/>
  <c r="H29" i="2"/>
  <c r="G29" i="2"/>
  <c r="F29" i="2"/>
  <c r="E29" i="2"/>
  <c r="D29" i="2"/>
  <c r="K29" i="2" s="1"/>
  <c r="J28" i="2"/>
  <c r="G28" i="2"/>
  <c r="E28" i="2"/>
  <c r="K28" i="2" s="1"/>
  <c r="J27" i="2"/>
  <c r="G27" i="2"/>
  <c r="E27" i="2"/>
  <c r="K27" i="2" s="1"/>
  <c r="J26" i="2"/>
  <c r="I26" i="2"/>
  <c r="I25" i="2" s="1"/>
  <c r="H26" i="2"/>
  <c r="H14" i="2" s="1"/>
  <c r="G26" i="2"/>
  <c r="E26" i="2"/>
  <c r="K26" i="2" s="1"/>
  <c r="J25" i="2"/>
  <c r="G25" i="2"/>
  <c r="F25" i="2"/>
  <c r="D25" i="2"/>
  <c r="E24" i="2"/>
  <c r="K24" i="2" s="1"/>
  <c r="I23" i="2"/>
  <c r="H23" i="2"/>
  <c r="G23" i="2"/>
  <c r="F23" i="2"/>
  <c r="D23" i="2"/>
  <c r="K22" i="2"/>
  <c r="G22" i="2"/>
  <c r="F22" i="2"/>
  <c r="J21" i="2"/>
  <c r="I21" i="2"/>
  <c r="H21" i="2"/>
  <c r="G21" i="2"/>
  <c r="F21" i="2"/>
  <c r="K21" i="2" s="1"/>
  <c r="E21" i="2"/>
  <c r="D21" i="2"/>
  <c r="G20" i="2"/>
  <c r="K20" i="2" s="1"/>
  <c r="F20" i="2"/>
  <c r="E20" i="2"/>
  <c r="G19" i="2"/>
  <c r="K19" i="2" s="1"/>
  <c r="F19" i="2"/>
  <c r="E19" i="2"/>
  <c r="K18" i="2"/>
  <c r="J17" i="2"/>
  <c r="I17" i="2"/>
  <c r="H17" i="2"/>
  <c r="G17" i="2"/>
  <c r="K17" i="2" s="1"/>
  <c r="F17" i="2"/>
  <c r="E17" i="2"/>
  <c r="D17" i="2"/>
  <c r="J16" i="2"/>
  <c r="I16" i="2"/>
  <c r="H16" i="2"/>
  <c r="G16" i="2"/>
  <c r="F16" i="2"/>
  <c r="D16" i="2"/>
  <c r="J15" i="2"/>
  <c r="I15" i="2"/>
  <c r="H15" i="2"/>
  <c r="G15" i="2"/>
  <c r="F15" i="2"/>
  <c r="D15" i="2"/>
  <c r="J14" i="2"/>
  <c r="G14" i="2"/>
  <c r="F14" i="2"/>
  <c r="E14" i="2"/>
  <c r="D14" i="2"/>
  <c r="J13" i="2"/>
  <c r="G13" i="2"/>
  <c r="F13" i="2"/>
  <c r="D13" i="2"/>
  <c r="J12" i="2"/>
  <c r="I12" i="2"/>
  <c r="H12" i="2"/>
  <c r="F12" i="2"/>
  <c r="D12" i="2"/>
  <c r="J11" i="2"/>
  <c r="I11" i="2"/>
  <c r="H11" i="2"/>
  <c r="G11" i="2"/>
  <c r="F11" i="2"/>
  <c r="D11" i="2"/>
  <c r="J10" i="2"/>
  <c r="G10" i="2"/>
  <c r="F10" i="2"/>
  <c r="E10" i="2"/>
  <c r="D10" i="2"/>
  <c r="D9" i="2" s="1"/>
  <c r="J9" i="2"/>
  <c r="F9" i="2"/>
  <c r="G116" i="1"/>
  <c r="K116" i="1" s="1"/>
  <c r="F116" i="1"/>
  <c r="E116" i="1"/>
  <c r="J115" i="1"/>
  <c r="I115" i="1"/>
  <c r="H115" i="1"/>
  <c r="F115" i="1"/>
  <c r="E115" i="1"/>
  <c r="D115" i="1"/>
  <c r="H114" i="1"/>
  <c r="H111" i="1" s="1"/>
  <c r="G114" i="1"/>
  <c r="E114" i="1"/>
  <c r="D114" i="1"/>
  <c r="K114" i="1" s="1"/>
  <c r="K113" i="1"/>
  <c r="K112" i="1"/>
  <c r="J111" i="1"/>
  <c r="I111" i="1"/>
  <c r="G111" i="1"/>
  <c r="F111" i="1"/>
  <c r="E111" i="1"/>
  <c r="J110" i="1"/>
  <c r="J107" i="1" s="1"/>
  <c r="I110" i="1"/>
  <c r="I12" i="1" s="1"/>
  <c r="F110" i="1"/>
  <c r="F107" i="1" s="1"/>
  <c r="E110" i="1"/>
  <c r="E107" i="1" s="1"/>
  <c r="D110" i="1"/>
  <c r="K109" i="1"/>
  <c r="K108" i="1"/>
  <c r="D107" i="1"/>
  <c r="K106" i="1"/>
  <c r="J105" i="1"/>
  <c r="I105" i="1"/>
  <c r="H105" i="1"/>
  <c r="K105" i="1" s="1"/>
  <c r="G104" i="1"/>
  <c r="F104" i="1"/>
  <c r="E104" i="1"/>
  <c r="K104" i="1" s="1"/>
  <c r="K103" i="1"/>
  <c r="K102" i="1"/>
  <c r="J101" i="1"/>
  <c r="I101" i="1"/>
  <c r="H101" i="1"/>
  <c r="G101" i="1"/>
  <c r="F101" i="1"/>
  <c r="D101" i="1"/>
  <c r="K100" i="1"/>
  <c r="K99" i="1"/>
  <c r="K98" i="1"/>
  <c r="J97" i="1"/>
  <c r="I97" i="1"/>
  <c r="H97" i="1"/>
  <c r="G97" i="1"/>
  <c r="F97" i="1"/>
  <c r="E97" i="1"/>
  <c r="D97" i="1"/>
  <c r="K97" i="1" s="1"/>
  <c r="G96" i="1"/>
  <c r="E96" i="1"/>
  <c r="K96" i="1" s="1"/>
  <c r="G95" i="1"/>
  <c r="K95" i="1" s="1"/>
  <c r="K94" i="1"/>
  <c r="J93" i="1"/>
  <c r="I93" i="1"/>
  <c r="H93" i="1"/>
  <c r="G93" i="1"/>
  <c r="F93" i="1"/>
  <c r="D93" i="1"/>
  <c r="K92" i="1"/>
  <c r="E92" i="1"/>
  <c r="J91" i="1"/>
  <c r="I91" i="1"/>
  <c r="H91" i="1"/>
  <c r="G91" i="1"/>
  <c r="F91" i="1"/>
  <c r="E91" i="1"/>
  <c r="D91" i="1"/>
  <c r="K91" i="1" s="1"/>
  <c r="G90" i="1"/>
  <c r="K90" i="1" s="1"/>
  <c r="K89" i="1"/>
  <c r="E89" i="1"/>
  <c r="K88" i="1"/>
  <c r="J87" i="1"/>
  <c r="I87" i="1"/>
  <c r="H87" i="1"/>
  <c r="G87" i="1"/>
  <c r="F87" i="1"/>
  <c r="K87" i="1" s="1"/>
  <c r="E87" i="1"/>
  <c r="D87" i="1"/>
  <c r="K86" i="1"/>
  <c r="K85" i="1"/>
  <c r="I84" i="1"/>
  <c r="H84" i="1"/>
  <c r="G84" i="1"/>
  <c r="K84" i="1" s="1"/>
  <c r="F83" i="1"/>
  <c r="K83" i="1" s="1"/>
  <c r="K82" i="1"/>
  <c r="K81" i="1"/>
  <c r="I81" i="1"/>
  <c r="H81" i="1"/>
  <c r="F81" i="1"/>
  <c r="K80" i="1"/>
  <c r="J79" i="1"/>
  <c r="I79" i="1"/>
  <c r="H79" i="1"/>
  <c r="G79" i="1"/>
  <c r="K79" i="1" s="1"/>
  <c r="K78" i="1"/>
  <c r="J77" i="1"/>
  <c r="I77" i="1"/>
  <c r="H77" i="1"/>
  <c r="G77" i="1"/>
  <c r="F77" i="1"/>
  <c r="K77" i="1" s="1"/>
  <c r="E77" i="1"/>
  <c r="K76" i="1"/>
  <c r="K75" i="1"/>
  <c r="K74" i="1"/>
  <c r="I73" i="1"/>
  <c r="H73" i="1"/>
  <c r="G73" i="1"/>
  <c r="F73" i="1"/>
  <c r="E73" i="1"/>
  <c r="D73" i="1"/>
  <c r="K73" i="1" s="1"/>
  <c r="K72" i="1"/>
  <c r="G72" i="1"/>
  <c r="F72" i="1"/>
  <c r="E72" i="1"/>
  <c r="E71" i="1" s="1"/>
  <c r="K71" i="1" s="1"/>
  <c r="J71" i="1"/>
  <c r="I71" i="1"/>
  <c r="H71" i="1"/>
  <c r="G71" i="1"/>
  <c r="F71" i="1"/>
  <c r="D71" i="1"/>
  <c r="J70" i="1"/>
  <c r="I70" i="1"/>
  <c r="H70" i="1"/>
  <c r="H16" i="1" s="1"/>
  <c r="G70" i="1"/>
  <c r="K70" i="1" s="1"/>
  <c r="F70" i="1"/>
  <c r="E70" i="1"/>
  <c r="G69" i="1"/>
  <c r="K69" i="1" s="1"/>
  <c r="F69" i="1"/>
  <c r="E69" i="1"/>
  <c r="K68" i="1"/>
  <c r="J67" i="1"/>
  <c r="I67" i="1"/>
  <c r="H67" i="1"/>
  <c r="F67" i="1"/>
  <c r="E67" i="1"/>
  <c r="D67" i="1"/>
  <c r="K66" i="1"/>
  <c r="K65" i="1"/>
  <c r="K64" i="1"/>
  <c r="J63" i="1"/>
  <c r="K63" i="1" s="1"/>
  <c r="G62" i="1"/>
  <c r="K62" i="1" s="1"/>
  <c r="J61" i="1"/>
  <c r="I61" i="1"/>
  <c r="H61" i="1"/>
  <c r="G61" i="1"/>
  <c r="K61" i="1" s="1"/>
  <c r="K60" i="1"/>
  <c r="G60" i="1"/>
  <c r="F60" i="1"/>
  <c r="J59" i="1"/>
  <c r="I59" i="1"/>
  <c r="H59" i="1"/>
  <c r="G59" i="1"/>
  <c r="F59" i="1"/>
  <c r="K59" i="1" s="1"/>
  <c r="K58" i="1"/>
  <c r="G58" i="1"/>
  <c r="J57" i="1"/>
  <c r="I57" i="1"/>
  <c r="H57" i="1"/>
  <c r="G57" i="1"/>
  <c r="K57" i="1" s="1"/>
  <c r="K56" i="1"/>
  <c r="K55" i="1"/>
  <c r="K54" i="1"/>
  <c r="J53" i="1"/>
  <c r="I53" i="1"/>
  <c r="H53" i="1"/>
  <c r="G53" i="1"/>
  <c r="F53" i="1"/>
  <c r="K53" i="1" s="1"/>
  <c r="E53" i="1"/>
  <c r="E52" i="1"/>
  <c r="E51" i="1" s="1"/>
  <c r="K51" i="1" s="1"/>
  <c r="K50" i="1"/>
  <c r="K49" i="1"/>
  <c r="J48" i="1"/>
  <c r="I48" i="1"/>
  <c r="H48" i="1"/>
  <c r="G48" i="1"/>
  <c r="K48" i="1" s="1"/>
  <c r="F48" i="1"/>
  <c r="K47" i="1"/>
  <c r="K46" i="1"/>
  <c r="K45" i="1"/>
  <c r="E45" i="1"/>
  <c r="G44" i="1"/>
  <c r="G43" i="1" s="1"/>
  <c r="F44" i="1"/>
  <c r="E44" i="1"/>
  <c r="D44" i="1"/>
  <c r="K44" i="1" s="1"/>
  <c r="J43" i="1"/>
  <c r="I43" i="1"/>
  <c r="H43" i="1"/>
  <c r="F43" i="1"/>
  <c r="K43" i="1" s="1"/>
  <c r="E43" i="1"/>
  <c r="D43" i="1"/>
  <c r="D42" i="1"/>
  <c r="K42" i="1" s="1"/>
  <c r="D41" i="1"/>
  <c r="K41" i="1" s="1"/>
  <c r="D40" i="1"/>
  <c r="K40" i="1" s="1"/>
  <c r="I39" i="1"/>
  <c r="H39" i="1"/>
  <c r="G39" i="1"/>
  <c r="F39" i="1"/>
  <c r="E39" i="1"/>
  <c r="K38" i="1"/>
  <c r="G38" i="1"/>
  <c r="F38" i="1"/>
  <c r="G37" i="1"/>
  <c r="K37" i="1" s="1"/>
  <c r="F37" i="1"/>
  <c r="G36" i="1"/>
  <c r="G35" i="1" s="1"/>
  <c r="F36" i="1"/>
  <c r="K36" i="1" s="1"/>
  <c r="J35" i="1"/>
  <c r="I35" i="1"/>
  <c r="H35" i="1"/>
  <c r="E35" i="1"/>
  <c r="D35" i="1"/>
  <c r="G34" i="1"/>
  <c r="K34" i="1" s="1"/>
  <c r="J33" i="1"/>
  <c r="I33" i="1"/>
  <c r="H33" i="1"/>
  <c r="G33" i="1"/>
  <c r="K33" i="1" s="1"/>
  <c r="K32" i="1"/>
  <c r="E32" i="1"/>
  <c r="I31" i="1"/>
  <c r="H31" i="1"/>
  <c r="G31" i="1"/>
  <c r="F31" i="1"/>
  <c r="E31" i="1"/>
  <c r="D31" i="1"/>
  <c r="K31" i="1" s="1"/>
  <c r="K30" i="1"/>
  <c r="E30" i="1"/>
  <c r="J29" i="1"/>
  <c r="I29" i="1"/>
  <c r="H29" i="1"/>
  <c r="G29" i="1"/>
  <c r="F29" i="1"/>
  <c r="K29" i="1" s="1"/>
  <c r="E29" i="1"/>
  <c r="D29" i="1"/>
  <c r="J28" i="1"/>
  <c r="I28" i="1"/>
  <c r="H28" i="1"/>
  <c r="G28" i="1"/>
  <c r="E28" i="1"/>
  <c r="K28" i="1" s="1"/>
  <c r="J27" i="1"/>
  <c r="G27" i="1"/>
  <c r="E27" i="1"/>
  <c r="K27" i="1" s="1"/>
  <c r="J26" i="1"/>
  <c r="I26" i="1"/>
  <c r="I25" i="1" s="1"/>
  <c r="H26" i="1"/>
  <c r="H25" i="1" s="1"/>
  <c r="G26" i="1"/>
  <c r="E26" i="1"/>
  <c r="K26" i="1" s="1"/>
  <c r="J25" i="1"/>
  <c r="G25" i="1"/>
  <c r="F25" i="1"/>
  <c r="D25" i="1"/>
  <c r="E24" i="1"/>
  <c r="K24" i="1" s="1"/>
  <c r="I23" i="1"/>
  <c r="H23" i="1"/>
  <c r="G23" i="1"/>
  <c r="F23" i="1"/>
  <c r="D23" i="1"/>
  <c r="K22" i="1"/>
  <c r="G22" i="1"/>
  <c r="F22" i="1"/>
  <c r="J21" i="1"/>
  <c r="I21" i="1"/>
  <c r="H21" i="1"/>
  <c r="G21" i="1"/>
  <c r="F21" i="1"/>
  <c r="K21" i="1" s="1"/>
  <c r="E21" i="1"/>
  <c r="D21" i="1"/>
  <c r="J20" i="1"/>
  <c r="I20" i="1"/>
  <c r="H20" i="1"/>
  <c r="G20" i="1"/>
  <c r="G17" i="1" s="1"/>
  <c r="F20" i="1"/>
  <c r="F17" i="1" s="1"/>
  <c r="E20" i="1"/>
  <c r="G19" i="1"/>
  <c r="F19" i="1"/>
  <c r="E19" i="1"/>
  <c r="K19" i="1" s="1"/>
  <c r="K18" i="1"/>
  <c r="J17" i="1"/>
  <c r="I17" i="1"/>
  <c r="H17" i="1"/>
  <c r="E17" i="1"/>
  <c r="D17" i="1"/>
  <c r="J16" i="1"/>
  <c r="I16" i="1"/>
  <c r="F16" i="1"/>
  <c r="D16" i="1"/>
  <c r="J15" i="1"/>
  <c r="I15" i="1"/>
  <c r="H15" i="1"/>
  <c r="F15" i="1"/>
  <c r="D15" i="1"/>
  <c r="J14" i="1"/>
  <c r="G14" i="1"/>
  <c r="F14" i="1"/>
  <c r="E14" i="1"/>
  <c r="D14" i="1"/>
  <c r="J13" i="1"/>
  <c r="F13" i="1"/>
  <c r="D13" i="1"/>
  <c r="J12" i="1"/>
  <c r="F12" i="1"/>
  <c r="D12" i="1"/>
  <c r="J11" i="1"/>
  <c r="I11" i="1"/>
  <c r="H11" i="1"/>
  <c r="F11" i="1"/>
  <c r="D11" i="1"/>
  <c r="J10" i="1"/>
  <c r="J9" i="1" s="1"/>
  <c r="G10" i="1"/>
  <c r="F10" i="1"/>
  <c r="E10" i="1"/>
  <c r="D10" i="1"/>
  <c r="D9" i="1"/>
  <c r="H13" i="2" l="1"/>
  <c r="H10" i="2"/>
  <c r="H9" i="2" s="1"/>
  <c r="K107" i="1"/>
  <c r="K67" i="2"/>
  <c r="K17" i="1"/>
  <c r="K35" i="1"/>
  <c r="K115" i="1"/>
  <c r="K43" i="2"/>
  <c r="G12" i="3"/>
  <c r="K23" i="2"/>
  <c r="G67" i="1"/>
  <c r="K67" i="1" s="1"/>
  <c r="F9" i="1"/>
  <c r="G15" i="1"/>
  <c r="G11" i="1" s="1"/>
  <c r="G16" i="1"/>
  <c r="K20" i="1"/>
  <c r="H14" i="1"/>
  <c r="E23" i="1"/>
  <c r="K23" i="1" s="1"/>
  <c r="F35" i="1"/>
  <c r="K52" i="1"/>
  <c r="E93" i="1"/>
  <c r="K93" i="1" s="1"/>
  <c r="I107" i="1"/>
  <c r="G110" i="1"/>
  <c r="G107" i="1" s="1"/>
  <c r="I14" i="2"/>
  <c r="K14" i="2" s="1"/>
  <c r="E15" i="2"/>
  <c r="E16" i="2"/>
  <c r="E23" i="2"/>
  <c r="H25" i="2"/>
  <c r="K38" i="2"/>
  <c r="K44" i="2"/>
  <c r="G61" i="2"/>
  <c r="K61" i="2" s="1"/>
  <c r="K62" i="2"/>
  <c r="K71" i="2"/>
  <c r="K81" i="2"/>
  <c r="G10" i="3"/>
  <c r="G13" i="3"/>
  <c r="G17" i="3"/>
  <c r="K17" i="3" s="1"/>
  <c r="K21" i="3"/>
  <c r="K26" i="3"/>
  <c r="J13" i="3"/>
  <c r="J10" i="3"/>
  <c r="J9" i="3" s="1"/>
  <c r="K28" i="3"/>
  <c r="E16" i="3"/>
  <c r="D39" i="1"/>
  <c r="K39" i="1" s="1"/>
  <c r="I14" i="1"/>
  <c r="E15" i="1"/>
  <c r="E16" i="1"/>
  <c r="E25" i="1"/>
  <c r="K25" i="1" s="1"/>
  <c r="E101" i="1"/>
  <c r="K101" i="1" s="1"/>
  <c r="H110" i="1"/>
  <c r="H107" i="1" s="1"/>
  <c r="D111" i="1"/>
  <c r="K111" i="1" s="1"/>
  <c r="E25" i="2"/>
  <c r="K53" i="2"/>
  <c r="G57" i="2"/>
  <c r="K57" i="2" s="1"/>
  <c r="K58" i="2"/>
  <c r="K70" i="2"/>
  <c r="K72" i="2"/>
  <c r="E71" i="2"/>
  <c r="K92" i="2"/>
  <c r="E91" i="2"/>
  <c r="K97" i="2"/>
  <c r="G111" i="2"/>
  <c r="G110" i="2"/>
  <c r="K20" i="3"/>
  <c r="K27" i="3"/>
  <c r="E15" i="3"/>
  <c r="K30" i="3"/>
  <c r="E29" i="3"/>
  <c r="K71" i="3"/>
  <c r="K109" i="3"/>
  <c r="G33" i="2"/>
  <c r="K33" i="2" s="1"/>
  <c r="K34" i="2"/>
  <c r="K40" i="2"/>
  <c r="D39" i="2"/>
  <c r="K39" i="2" s="1"/>
  <c r="D107" i="2"/>
  <c r="H14" i="3"/>
  <c r="H25" i="3"/>
  <c r="G115" i="1"/>
  <c r="K35" i="2"/>
  <c r="G87" i="2"/>
  <c r="K87" i="2" s="1"/>
  <c r="K91" i="2"/>
  <c r="K111" i="2"/>
  <c r="K24" i="3"/>
  <c r="E23" i="3"/>
  <c r="K23" i="3" s="1"/>
  <c r="K29" i="3"/>
  <c r="K35" i="3"/>
  <c r="K91" i="3"/>
  <c r="F59" i="3"/>
  <c r="K59" i="3" s="1"/>
  <c r="F101" i="3"/>
  <c r="D105" i="3"/>
  <c r="K105" i="3" s="1"/>
  <c r="E115" i="2"/>
  <c r="K115" i="2" s="1"/>
  <c r="E25" i="3"/>
  <c r="K25" i="3" s="1"/>
  <c r="G33" i="3"/>
  <c r="K33" i="3" s="1"/>
  <c r="D39" i="3"/>
  <c r="K39" i="3" s="1"/>
  <c r="G57" i="3"/>
  <c r="K57" i="3" s="1"/>
  <c r="G61" i="3"/>
  <c r="K61" i="3" s="1"/>
  <c r="K72" i="3"/>
  <c r="E91" i="3"/>
  <c r="E97" i="3"/>
  <c r="K97" i="3" s="1"/>
  <c r="E104" i="3"/>
  <c r="E101" i="3" s="1"/>
  <c r="K101" i="3" s="1"/>
  <c r="K110" i="3"/>
  <c r="E110" i="2"/>
  <c r="E107" i="2" s="1"/>
  <c r="E93" i="3"/>
  <c r="K93" i="3" s="1"/>
  <c r="G104" i="3"/>
  <c r="G101" i="3" s="1"/>
  <c r="E9" i="5"/>
  <c r="F9" i="5" s="1"/>
  <c r="E106" i="5"/>
  <c r="E103" i="5" l="1"/>
  <c r="F103" i="5" s="1"/>
  <c r="F106" i="5"/>
  <c r="E8" i="5"/>
  <c r="G107" i="2"/>
  <c r="G12" i="2"/>
  <c r="G9" i="2" s="1"/>
  <c r="K16" i="1"/>
  <c r="E12" i="1"/>
  <c r="K15" i="2"/>
  <c r="E13" i="2"/>
  <c r="E11" i="2"/>
  <c r="H13" i="1"/>
  <c r="H10" i="1"/>
  <c r="E13" i="3"/>
  <c r="K13" i="3" s="1"/>
  <c r="E11" i="3"/>
  <c r="K15" i="3"/>
  <c r="E12" i="3"/>
  <c r="K12" i="3" s="1"/>
  <c r="K16" i="3"/>
  <c r="H12" i="1"/>
  <c r="K104" i="3"/>
  <c r="H13" i="3"/>
  <c r="H10" i="3"/>
  <c r="H9" i="3" s="1"/>
  <c r="K107" i="2"/>
  <c r="I13" i="1"/>
  <c r="I10" i="1"/>
  <c r="I9" i="1" s="1"/>
  <c r="G9" i="3"/>
  <c r="K10" i="3"/>
  <c r="G12" i="1"/>
  <c r="G9" i="1" s="1"/>
  <c r="K110" i="1"/>
  <c r="K14" i="1"/>
  <c r="E13" i="1"/>
  <c r="K13" i="1" s="1"/>
  <c r="E11" i="1"/>
  <c r="K15" i="1"/>
  <c r="I13" i="2"/>
  <c r="I10" i="2"/>
  <c r="K110" i="2"/>
  <c r="K25" i="2"/>
  <c r="K16" i="2"/>
  <c r="E12" i="2"/>
  <c r="K12" i="2" s="1"/>
  <c r="K14" i="3"/>
  <c r="G13" i="1"/>
  <c r="I9" i="2" l="1"/>
  <c r="K10" i="2"/>
  <c r="K11" i="3"/>
  <c r="E9" i="3"/>
  <c r="H9" i="1"/>
  <c r="K10" i="1"/>
  <c r="K11" i="2"/>
  <c r="E9" i="2"/>
  <c r="K13" i="2"/>
  <c r="E9" i="1"/>
  <c r="K11" i="1"/>
  <c r="K12" i="1"/>
  <c r="F8" i="5"/>
  <c r="E5" i="5"/>
  <c r="F5" i="5" s="1"/>
</calcChain>
</file>

<file path=xl/comments1.xml><?xml version="1.0" encoding="utf-8"?>
<comments xmlns="http://schemas.openxmlformats.org/spreadsheetml/2006/main">
  <authors>
    <author/>
  </authors>
  <commentList>
    <comment ref="D19" authorId="0">
      <text>
        <r>
          <rPr>
            <sz val="11"/>
            <color rgb="FF000000"/>
            <rFont val="Calibri"/>
            <family val="2"/>
            <charset val="204"/>
          </rPr>
          <t xml:space="preserve">57,5 ( 6500)
</t>
        </r>
      </text>
    </comment>
    <comment ref="E19" authorId="0">
      <text>
        <r>
          <rPr>
            <sz val="11"/>
            <color rgb="FF000000"/>
            <rFont val="Calibri"/>
            <family val="2"/>
            <charset val="204"/>
          </rPr>
          <t xml:space="preserve">57,5 ( 6500)
</t>
        </r>
      </text>
    </comment>
    <comment ref="D20" authorId="0">
      <text>
        <r>
          <rPr>
            <sz val="11"/>
            <color rgb="FF000000"/>
            <rFont val="Calibri"/>
            <family val="2"/>
            <charset val="204"/>
          </rPr>
          <t xml:space="preserve">2100   57,5
</t>
        </r>
      </text>
    </comment>
    <comment ref="E20" authorId="0">
      <text>
        <r>
          <rPr>
            <sz val="11"/>
            <color rgb="FF000000"/>
            <rFont val="Calibri"/>
            <family val="2"/>
            <charset val="204"/>
          </rPr>
          <t xml:space="preserve">2100   57,5
</t>
        </r>
      </text>
    </comment>
    <comment ref="B101" authorId="0">
      <text>
        <r>
          <rPr>
            <b/>
            <sz val="14"/>
            <color rgb="FF000000"/>
            <rFont val="Calibri"/>
            <family val="2"/>
            <charset val="204"/>
          </rPr>
          <t>Учебные сборы, вахта Памяти, Наследие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D19" authorId="0">
      <text>
        <r>
          <rPr>
            <sz val="11"/>
            <color rgb="FF000000"/>
            <rFont val="Calibri"/>
            <family val="2"/>
            <charset val="204"/>
          </rPr>
          <t xml:space="preserve">57,5 ( 6500)
</t>
        </r>
      </text>
    </comment>
    <comment ref="E19" authorId="0">
      <text>
        <r>
          <rPr>
            <sz val="11"/>
            <color rgb="FF000000"/>
            <rFont val="Calibri"/>
            <family val="2"/>
            <charset val="204"/>
          </rPr>
          <t xml:space="preserve">57,5 ( 6500)
</t>
        </r>
      </text>
    </comment>
    <comment ref="D20" authorId="0">
      <text>
        <r>
          <rPr>
            <sz val="11"/>
            <color rgb="FF000000"/>
            <rFont val="Calibri"/>
            <family val="2"/>
            <charset val="204"/>
          </rPr>
          <t xml:space="preserve">2100   57,5
</t>
        </r>
      </text>
    </comment>
    <comment ref="E20" authorId="0">
      <text>
        <r>
          <rPr>
            <sz val="11"/>
            <color rgb="FF000000"/>
            <rFont val="Calibri"/>
            <family val="2"/>
            <charset val="204"/>
          </rPr>
          <t xml:space="preserve">2100   57,5
</t>
        </r>
      </text>
    </comment>
    <comment ref="B101" authorId="0">
      <text>
        <r>
          <rPr>
            <b/>
            <sz val="14"/>
            <color rgb="FF000000"/>
            <rFont val="Calibri"/>
            <family val="2"/>
            <charset val="204"/>
          </rPr>
          <t>Учебные сборы, вахта Памяти, Наследие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D19" authorId="0">
      <text>
        <r>
          <rPr>
            <sz val="11"/>
            <color rgb="FF000000"/>
            <rFont val="Calibri"/>
            <family val="2"/>
            <charset val="204"/>
          </rPr>
          <t xml:space="preserve">57,5 ( 6500)
</t>
        </r>
      </text>
    </comment>
    <comment ref="E19" authorId="0">
      <text>
        <r>
          <rPr>
            <sz val="11"/>
            <color rgb="FF000000"/>
            <rFont val="Calibri"/>
            <family val="2"/>
            <charset val="204"/>
          </rPr>
          <t xml:space="preserve">57,5 ( 6500)
</t>
        </r>
      </text>
    </comment>
    <comment ref="D20" authorId="0">
      <text>
        <r>
          <rPr>
            <sz val="11"/>
            <color rgb="FF000000"/>
            <rFont val="Calibri"/>
            <family val="2"/>
            <charset val="204"/>
          </rPr>
          <t xml:space="preserve">2100   57,5
</t>
        </r>
      </text>
    </comment>
    <comment ref="E20" authorId="0">
      <text>
        <r>
          <rPr>
            <sz val="11"/>
            <color rgb="FF000000"/>
            <rFont val="Calibri"/>
            <family val="2"/>
            <charset val="204"/>
          </rPr>
          <t xml:space="preserve">2100   57,5
</t>
        </r>
      </text>
    </comment>
    <comment ref="B97" authorId="0">
      <text>
        <r>
          <rPr>
            <b/>
            <sz val="14"/>
            <color rgb="FF000000"/>
            <rFont val="Calibri"/>
            <family val="2"/>
            <charset val="204"/>
          </rPr>
          <t>Учебные сборы, вахта Памяти, Наследие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B97" authorId="0">
      <text>
        <r>
          <rPr>
            <b/>
            <sz val="14"/>
            <color rgb="FF000000"/>
            <rFont val="Calibri"/>
            <family val="2"/>
            <charset val="204"/>
          </rPr>
          <t>Учебные сборы, вахта Памяти, Наследие</t>
        </r>
      </text>
    </comment>
  </commentList>
</comments>
</file>

<file path=xl/sharedStrings.xml><?xml version="1.0" encoding="utf-8"?>
<sst xmlns="http://schemas.openxmlformats.org/spreadsheetml/2006/main" count="753" uniqueCount="95">
  <si>
    <t>Приложение №5                                                               к постановлению администрации Юрьянского района Кировской области от ___________ _____  № ________</t>
  </si>
  <si>
    <t xml:space="preserve">Приложение № 5
</t>
  </si>
  <si>
    <t>к муниципальной программе</t>
  </si>
  <si>
    <t>ОЦЕНКА РЕСУРСНОГО ОБЕСПЕЧЕНИЯ РЕАЛИЗАЦИИ МУНИЦИПАЛЬНОЙ ПРОГРАММЫ   ЗА СЧЕТ ВСЕХ ИСТОЧНИКОВ ФИНАНСИРОВАНИЯ</t>
  </si>
  <si>
    <t>№ п/п</t>
  </si>
  <si>
    <t>Наименование муниципальной программы, подпрограммы,  отдельного мероприятия</t>
  </si>
  <si>
    <t>Источники финансирования, ответственный исполнитель, соисполнитель</t>
  </si>
  <si>
    <t>Расходы, тыс. рублей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</si>
  <si>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</si>
  <si>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</si>
  <si>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</si>
  <si>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</si>
  <si>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</si>
  <si>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</si>
  <si>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</si>
  <si>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</t>
  </si>
  <si>
    <t xml:space="preserve">муниципальная программа «Развитие образования» 
</t>
  </si>
  <si>
    <t>всего</t>
  </si>
  <si>
    <t>федеральный бюджет</t>
  </si>
  <si>
    <t>областной бюджет</t>
  </si>
  <si>
    <t>местный бюджет</t>
  </si>
  <si>
    <t>Подпрограмма «Развитие общего и дополнительного образования детей»</t>
  </si>
  <si>
    <t xml:space="preserve">федеральный бюджет </t>
  </si>
  <si>
    <t xml:space="preserve">областной бюджет </t>
  </si>
  <si>
    <t>1.1</t>
  </si>
  <si>
    <t>Отдельное мероприятие  «Реализация прав на получение общедоступного и бесплатного дошкольного образования», в том числе:</t>
  </si>
  <si>
    <t>1.1.1</t>
  </si>
  <si>
    <t>Начисление и выплата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</t>
  </si>
  <si>
    <t>1.1.2</t>
  </si>
  <si>
    <t>Организация питания в муниципальных образовательных организациях, реализующих образовательную программу дошкольного образования</t>
  </si>
  <si>
    <t>1.2</t>
  </si>
  <si>
    <t>Отдельное мероприятие «Реализация прав на получение общедоступного и бесплатного начального общего, основного общего, среднего общего образования», в том числе:</t>
  </si>
  <si>
    <t>1.2.1</t>
  </si>
  <si>
    <t>Oрганизация временного трудоустройства обучающихся в свободное от учебы время</t>
  </si>
  <si>
    <t>1.2.2</t>
  </si>
  <si>
    <t>Предоставление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</si>
  <si>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-</t>
  </si>
  <si>
    <t>1.2.2.1</t>
  </si>
  <si>
    <t>Обеспечение выплат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</si>
  <si>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1.2.3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</si>
  <si>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</si>
  <si>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1.2.4</t>
  </si>
  <si>
    <t>Ремонт спортивного зала муниципального казенного общеобразовательного учреждения основной общеобразовательной школы д.Ложкари Юрьянского района Кировской области</t>
  </si>
  <si>
    <t>1.2.5</t>
  </si>
  <si>
    <t>Компенсация за работу по подготовке и проведению ГИА</t>
  </si>
  <si>
    <t>1.2.6</t>
  </si>
  <si>
    <t>Мероприятия по подготовке образовательного пространства и создание центров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</si>
  <si>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1.2.7</t>
  </si>
  <si>
    <t>В муниципальном казенном общеобразовательном  учреждении основной общеобразовательной  школе   д.Подгорцы Юрьянского района Кировской области, муниципальном казенном общеобразовательном  учреждении основной общеобразовательной  школе  д.Ложкари Юрьянского района Кировской области и муниципальном казенном общеобразовательном  учреждении основной общеобразовательной  школе с.Медяны Юрьянского района Кировской области, на базе которых планируется реализация мероприятий по подготовке образовательного пространства и создание центра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</si>
  <si>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1.2.8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</si>
  <si>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</t>
  </si>
  <si>
    <t>1.2.9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</si>
  <si>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 общеобразовательных организациях</t>
  </si>
  <si>
    <t>1.2.9.1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</si>
  <si>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</si>
  <si>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1.2.10</t>
  </si>
  <si>
    <t xml:space="preserve"> Предоставление бесплатного горячего питания детям участников специальной военной операции</t>
  </si>
  <si>
    <t>1.2.11</t>
  </si>
  <si>
    <t xml:space="preserve">   Обеспечение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</si>
  <si>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1.2.12</t>
  </si>
  <si>
    <t>Реализация мероприятий по модернизации школьных систем образования (капитальный ремонт и оснащение муниципального казенного общеобразовательного  учреждения основная общеобразовательная  школа с.Загарье Юрьянского района Кировской области)</t>
  </si>
  <si>
    <t>1.3</t>
  </si>
  <si>
    <t>Отдельное мероприятие «Реализация прав на получение общедоступного и бесплатного дополнительного образования, выявление и поддержка одаренных детей»</t>
  </si>
  <si>
    <t>1.4</t>
  </si>
  <si>
    <t>Обеспечение персонифицированного финансирования дополнительного образования детей</t>
  </si>
  <si>
    <t>1.5</t>
  </si>
  <si>
    <t>Отдельное мероприятие «Реализация инвестиционных программ и проектов развития общественной инфраструктуры муниципальных образований в Кировской области». Ремонт помещений здания муниципального казенного образовательного учреждения дополнительного образования Центр детского творчества, ул.Комсомольская, д.28, пгт Юрья</t>
  </si>
  <si>
    <t>1.6.</t>
  </si>
  <si>
    <t>Отдельное мероприятие «Финансовая поддержка детско-юношеского спорта»</t>
  </si>
  <si>
    <t>Отдельное мероприятие «Финансовая поддержка детско-юношеского и массового спорта»</t>
  </si>
  <si>
    <t>1.7.</t>
  </si>
  <si>
    <r>
      <rPr>
        <sz val="14"/>
        <color rgb="FF000000"/>
        <rFont val="Times New Roman"/>
        <family val="1"/>
        <charset val="1"/>
      </rPr>
      <t xml:space="preserve">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(территорий)) </t>
    </r>
    <r>
      <rPr>
        <sz val="14"/>
        <color rgb="FF000000"/>
        <rFont val="Times New Roman"/>
        <family val="1"/>
        <charset val="128"/>
      </rPr>
      <t>в муниципальных образовательных организациях</t>
    </r>
  </si>
  <si>
    <r>
      <rPr>
        <sz val="14"/>
        <color rgb="FF000000"/>
        <rFont val="Times New Roman"/>
        <family val="1"/>
        <charset val="1"/>
      </rPr>
      <t xml:space="preserve">Выполнение предписаний надзорных органов и приведение зданий в соответствие с требованиями, предъявляемыми к безопасности в процессе эксплуатации  </t>
    </r>
    <r>
      <rPr>
        <sz val="14"/>
        <color rgb="FF000000"/>
        <rFont val="Times New Roman"/>
        <family val="1"/>
        <charset val="128"/>
      </rPr>
      <t>в муниципальных образовательных организациях</t>
    </r>
  </si>
  <si>
    <t>2</t>
  </si>
  <si>
    <t>Подпрограмма «Развитие кадрового потенциала системы образования Кировской области», в том числе:</t>
  </si>
  <si>
    <t>2.1</t>
  </si>
  <si>
    <t>Компенсация расходов на оплату жилых помещений, отопления и электроснабжения в виде единовременной денежной выплаты</t>
  </si>
  <si>
    <t>3</t>
  </si>
  <si>
    <t>Отдельное мероприятие «Организация и обеспечение отдыха и оздоровления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пребыванием»</t>
  </si>
  <si>
    <t>Отдельное мероприятие «Организация отдыха и оздоровления детей в каникулярное время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пребыванием»</t>
  </si>
  <si>
    <t>4</t>
  </si>
  <si>
    <t xml:space="preserve">Отдельное мероприятие «Развитие системы патриотического воспитания детей» </t>
  </si>
  <si>
    <t>4.1</t>
  </si>
  <si>
    <t>5</t>
  </si>
  <si>
    <t>Отдельное мероприятие «Обеспечение реализации муниципальной программы и  прочие мероприятия в области образования»</t>
  </si>
  <si>
    <t>5.1</t>
  </si>
  <si>
    <t>Финансовое обеспечение деятельности учреждения управление образования</t>
  </si>
  <si>
    <t>5.2</t>
  </si>
  <si>
    <t>Финансовое обеспечение деятельности МКУ РИМ и БЦ</t>
  </si>
  <si>
    <t>_____________________</t>
  </si>
  <si>
    <t>Отдельное мероприятие «Оплата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пребыванием»</t>
  </si>
  <si>
    <t>Приложение №7                                                                 к постановлению администрации Юрьянского района Кировской области от ___________ _____  № ________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</si>
  <si>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</si>
  <si>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Дума 12.02.2025</t>
  </si>
  <si>
    <t>Приложение №5                                                               к постановлению администрации Юрьянского района Кировской области от 17.03.2025  № 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</si>
</sst>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\-??_р_._-;_-@_-"/>
    <numFmt numFmtId="165" formatCode="#,##0.000"/>
    <numFmt numFmtId="166" formatCode="#,###.0"/>
    <numFmt numFmtId="167" formatCode="#,##0.0"/>
    <numFmt numFmtId="168" formatCode="0.000"/>
    <numFmt numFmtId="169" formatCode="_(* #,##0.00_);_(* \(#,##0.00\);_(* \-??_);_(@_)"/>
  </numFmts>
  <fonts count="19">
    <font>
      <sz val="10"/>
      <name val="Arial"/>
      <family val="2"/>
      <charset val="204"/>
    </font>
    <font>
      <b/>
      <sz val="10"/>
      <color rgb="FF000000"/>
      <name val="Arial Cyr"/>
      <charset val="1"/>
    </font>
    <font>
      <sz val="11"/>
      <color rgb="FF000000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5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14"/>
      <color rgb="FFFFFFFF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128"/>
    </font>
    <font>
      <b/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164" fontId="2" fillId="0" borderId="0" applyBorder="0" applyProtection="0"/>
    <xf numFmtId="0" fontId="1" fillId="0" borderId="1">
      <alignment vertical="top" wrapText="1"/>
    </xf>
    <xf numFmtId="0" fontId="2" fillId="0" borderId="0"/>
  </cellStyleXfs>
  <cellXfs count="94">
    <xf numFmtId="0" fontId="0" fillId="0" borderId="0" xfId="0"/>
    <xf numFmtId="11" fontId="3" fillId="0" borderId="0" xfId="0" applyNumberFormat="1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top" wrapText="1"/>
    </xf>
    <xf numFmtId="11" fontId="7" fillId="0" borderId="0" xfId="0" applyNumberFormat="1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4" fontId="10" fillId="0" borderId="0" xfId="0" applyNumberFormat="1" applyFont="1"/>
    <xf numFmtId="0" fontId="11" fillId="0" borderId="0" xfId="0" applyFont="1"/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165" fontId="13" fillId="0" borderId="1" xfId="1" applyNumberFormat="1" applyFont="1" applyBorder="1" applyAlignment="1" applyProtection="1">
      <alignment horizontal="center" vertical="top" wrapText="1"/>
    </xf>
    <xf numFmtId="166" fontId="13" fillId="0" borderId="1" xfId="1" applyNumberFormat="1" applyFont="1" applyBorder="1" applyAlignment="1" applyProtection="1">
      <alignment horizontal="center" vertical="top" wrapText="1"/>
    </xf>
    <xf numFmtId="167" fontId="13" fillId="0" borderId="1" xfId="1" applyNumberFormat="1" applyFont="1" applyBorder="1" applyAlignment="1" applyProtection="1">
      <alignment horizontal="center" vertical="top" wrapText="1"/>
    </xf>
    <xf numFmtId="0" fontId="13" fillId="0" borderId="0" xfId="0" applyFont="1"/>
    <xf numFmtId="0" fontId="12" fillId="0" borderId="1" xfId="0" applyFont="1" applyBorder="1" applyAlignment="1">
      <alignment vertical="top" wrapText="1"/>
    </xf>
    <xf numFmtId="165" fontId="12" fillId="0" borderId="1" xfId="1" applyNumberFormat="1" applyFont="1" applyBorder="1" applyAlignment="1" applyProtection="1">
      <alignment horizontal="center" vertical="top" wrapText="1"/>
    </xf>
    <xf numFmtId="168" fontId="12" fillId="0" borderId="1" xfId="1" applyNumberFormat="1" applyFont="1" applyBorder="1" applyAlignment="1" applyProtection="1">
      <alignment horizontal="center" vertical="top" wrapText="1"/>
    </xf>
    <xf numFmtId="167" fontId="12" fillId="0" borderId="1" xfId="1" applyNumberFormat="1" applyFont="1" applyBorder="1" applyAlignment="1" applyProtection="1">
      <alignment horizontal="center" vertical="top" wrapText="1"/>
    </xf>
    <xf numFmtId="168" fontId="7" fillId="0" borderId="1" xfId="1" applyNumberFormat="1" applyFont="1" applyBorder="1" applyAlignment="1" applyProtection="1">
      <alignment horizontal="center" vertical="top" wrapText="1"/>
    </xf>
    <xf numFmtId="0" fontId="14" fillId="0" borderId="0" xfId="0" applyFont="1"/>
    <xf numFmtId="4" fontId="13" fillId="0" borderId="1" xfId="1" applyNumberFormat="1" applyFont="1" applyBorder="1" applyAlignment="1" applyProtection="1">
      <alignment horizontal="center" vertical="top" wrapText="1"/>
    </xf>
    <xf numFmtId="168" fontId="13" fillId="0" borderId="1" xfId="1" applyNumberFormat="1" applyFont="1" applyBorder="1" applyAlignment="1" applyProtection="1">
      <alignment horizontal="center" vertical="top" wrapText="1"/>
    </xf>
    <xf numFmtId="4" fontId="12" fillId="0" borderId="1" xfId="1" applyNumberFormat="1" applyFont="1" applyBorder="1" applyAlignment="1" applyProtection="1">
      <alignment horizontal="center" vertical="top" wrapText="1"/>
    </xf>
    <xf numFmtId="0" fontId="12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16" fillId="0" borderId="3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1" applyNumberFormat="1" applyFont="1" applyBorder="1" applyAlignment="1" applyProtection="1">
      <alignment horizontal="center" vertical="top" wrapText="1"/>
    </xf>
    <xf numFmtId="165" fontId="7" fillId="0" borderId="1" xfId="1" applyNumberFormat="1" applyFont="1" applyBorder="1" applyAlignment="1" applyProtection="1">
      <alignment horizontal="center" vertical="top" wrapText="1"/>
    </xf>
    <xf numFmtId="0" fontId="16" fillId="0" borderId="1" xfId="0" applyFont="1" applyBorder="1" applyAlignment="1">
      <alignment vertical="top" wrapText="1"/>
    </xf>
    <xf numFmtId="169" fontId="7" fillId="0" borderId="1" xfId="1" applyNumberFormat="1" applyFont="1" applyBorder="1" applyAlignment="1" applyProtection="1">
      <alignment horizontal="center" vertical="top" wrapText="1"/>
    </xf>
    <xf numFmtId="0" fontId="12" fillId="0" borderId="0" xfId="0" applyFont="1"/>
    <xf numFmtId="0" fontId="7" fillId="0" borderId="1" xfId="0" applyFont="1" applyBorder="1" applyAlignment="1">
      <alignment vertical="top" wrapText="1"/>
    </xf>
    <xf numFmtId="166" fontId="12" fillId="0" borderId="1" xfId="1" applyNumberFormat="1" applyFont="1" applyBorder="1" applyAlignment="1" applyProtection="1">
      <alignment horizontal="center" vertical="top" wrapText="1"/>
    </xf>
    <xf numFmtId="0" fontId="12" fillId="0" borderId="2" xfId="0" applyFont="1" applyBorder="1" applyAlignment="1">
      <alignment vertical="top" wrapText="1"/>
    </xf>
    <xf numFmtId="165" fontId="12" fillId="0" borderId="3" xfId="1" applyNumberFormat="1" applyFont="1" applyBorder="1" applyAlignment="1" applyProtection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4" fontId="12" fillId="0" borderId="4" xfId="1" applyNumberFormat="1" applyFont="1" applyBorder="1" applyAlignment="1" applyProtection="1">
      <alignment horizontal="center" vertical="top" wrapText="1"/>
    </xf>
    <xf numFmtId="4" fontId="16" fillId="0" borderId="1" xfId="1" applyNumberFormat="1" applyFont="1" applyBorder="1" applyAlignment="1" applyProtection="1">
      <alignment horizontal="center" vertical="top" wrapText="1"/>
    </xf>
    <xf numFmtId="165" fontId="7" fillId="0" borderId="3" xfId="1" applyNumberFormat="1" applyFont="1" applyBorder="1" applyAlignment="1" applyProtection="1">
      <alignment horizontal="center" vertical="top" wrapText="1"/>
    </xf>
    <xf numFmtId="4" fontId="7" fillId="0" borderId="3" xfId="1" applyNumberFormat="1" applyFont="1" applyBorder="1" applyAlignment="1" applyProtection="1">
      <alignment horizontal="center" vertical="top" wrapText="1"/>
    </xf>
    <xf numFmtId="0" fontId="13" fillId="0" borderId="3" xfId="0" applyFont="1" applyBorder="1" applyAlignment="1">
      <alignment vertical="top" wrapText="1"/>
    </xf>
    <xf numFmtId="165" fontId="13" fillId="0" borderId="3" xfId="1" applyNumberFormat="1" applyFont="1" applyBorder="1" applyAlignment="1" applyProtection="1">
      <alignment horizontal="center" vertical="top" wrapText="1"/>
    </xf>
    <xf numFmtId="167" fontId="13" fillId="0" borderId="3" xfId="1" applyNumberFormat="1" applyFont="1" applyBorder="1" applyAlignment="1" applyProtection="1">
      <alignment horizontal="center" vertical="top" wrapText="1"/>
    </xf>
    <xf numFmtId="4" fontId="13" fillId="0" borderId="3" xfId="1" applyNumberFormat="1" applyFont="1" applyBorder="1" applyAlignment="1" applyProtection="1">
      <alignment horizontal="center" vertical="top" wrapText="1"/>
    </xf>
    <xf numFmtId="167" fontId="12" fillId="0" borderId="3" xfId="1" applyNumberFormat="1" applyFont="1" applyBorder="1" applyAlignment="1" applyProtection="1">
      <alignment horizontal="center" vertical="top" wrapText="1"/>
    </xf>
    <xf numFmtId="164" fontId="13" fillId="0" borderId="1" xfId="1" applyFont="1" applyBorder="1" applyAlignment="1" applyProtection="1">
      <alignment horizontal="center" vertical="top" wrapText="1"/>
    </xf>
    <xf numFmtId="4" fontId="7" fillId="0" borderId="1" xfId="1" applyNumberFormat="1" applyFont="1" applyBorder="1" applyAlignment="1" applyProtection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11" fontId="12" fillId="0" borderId="0" xfId="0" applyNumberFormat="1" applyFont="1" applyAlignment="1">
      <alignment horizontal="center"/>
    </xf>
    <xf numFmtId="49" fontId="12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2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center" wrapText="1"/>
    </xf>
    <xf numFmtId="49" fontId="7" fillId="0" borderId="1" xfId="3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9" fontId="15" fillId="0" borderId="1" xfId="3" applyNumberFormat="1" applyFont="1" applyBorder="1" applyAlignment="1">
      <alignment horizontal="left" vertical="center" wrapText="1"/>
    </xf>
    <xf numFmtId="0" fontId="7" fillId="0" borderId="1" xfId="3" applyFont="1" applyBorder="1" applyAlignment="1">
      <alignment horizontal="left" vertical="top" wrapText="1"/>
    </xf>
    <xf numFmtId="0" fontId="12" fillId="0" borderId="1" xfId="3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1" fontId="9" fillId="0" borderId="0" xfId="0" applyNumberFormat="1" applyFont="1" applyAlignment="1">
      <alignment horizontal="center" vertical="center" wrapText="1"/>
    </xf>
    <xf numFmtId="11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 wrapText="1"/>
    </xf>
    <xf numFmtId="49" fontId="12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top" wrapText="1"/>
    </xf>
    <xf numFmtId="0" fontId="15" fillId="0" borderId="1" xfId="2" applyFont="1" applyAlignment="1">
      <alignment horizontal="left" vertical="top" wrapText="1"/>
    </xf>
    <xf numFmtId="49" fontId="12" fillId="0" borderId="3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2" fillId="0" borderId="3" xfId="0" applyFont="1" applyBorder="1" applyAlignment="1">
      <alignment horizontal="left" vertical="top" wrapText="1"/>
    </xf>
    <xf numFmtId="49" fontId="12" fillId="0" borderId="4" xfId="0" applyNumberFormat="1" applyFont="1" applyBorder="1" applyAlignment="1">
      <alignment horizontal="center" vertical="center" wrapText="1"/>
    </xf>
    <xf numFmtId="49" fontId="7" fillId="0" borderId="3" xfId="3" applyNumberFormat="1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49" fontId="15" fillId="0" borderId="3" xfId="3" applyNumberFormat="1" applyFont="1" applyBorder="1" applyAlignment="1">
      <alignment horizontal="left" vertical="center" wrapText="1"/>
    </xf>
    <xf numFmtId="49" fontId="7" fillId="0" borderId="0" xfId="3" applyNumberFormat="1" applyFont="1" applyAlignment="1">
      <alignment horizontal="left" vertical="center" wrapText="1"/>
    </xf>
    <xf numFmtId="49" fontId="12" fillId="0" borderId="4" xfId="0" applyNumberFormat="1" applyFont="1" applyBorder="1" applyAlignment="1">
      <alignment horizontal="center" vertical="top" wrapText="1"/>
    </xf>
    <xf numFmtId="0" fontId="12" fillId="0" borderId="3" xfId="0" applyFont="1" applyBorder="1" applyAlignment="1">
      <alignment vertical="top" wrapText="1"/>
    </xf>
    <xf numFmtId="49" fontId="3" fillId="0" borderId="2" xfId="0" applyNumberFormat="1" applyFont="1" applyBorder="1" applyAlignment="1">
      <alignment horizontal="center" vertical="top" wrapText="1"/>
    </xf>
  </cellXfs>
  <cellStyles count="4">
    <cellStyle name="xl32" xfId="2"/>
    <cellStyle name="Обычный" xfId="0" builtinId="0"/>
    <cellStyle name="Обычный_Лист1" xfId="3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1034" name="_x0000_t202" hidden="1">
          <a:extLst>
            <a:ext uri="{FF2B5EF4-FFF2-40B4-BE49-F238E27FC236}">
              <a16:creationId xmlns:a16="http://schemas.microsoft.com/office/drawing/2014/main" xmlns="" id="{71AAECC4-061E-9A56-F4CC-FDD62D64241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1032" name="_x0000_t202" hidden="1">
          <a:extLst>
            <a:ext uri="{FF2B5EF4-FFF2-40B4-BE49-F238E27FC236}">
              <a16:creationId xmlns:a16="http://schemas.microsoft.com/office/drawing/2014/main" xmlns="" id="{DD7B58D4-6204-FEFB-741A-D27802D707D7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1030" name="_x0000_t202" hidden="1">
          <a:extLst>
            <a:ext uri="{FF2B5EF4-FFF2-40B4-BE49-F238E27FC236}">
              <a16:creationId xmlns:a16="http://schemas.microsoft.com/office/drawing/2014/main" xmlns="" id="{E59873BF-3191-52AF-F7C5-FB7A3C047C32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1028" name="_x0000_t202" hidden="1">
          <a:extLst>
            <a:ext uri="{FF2B5EF4-FFF2-40B4-BE49-F238E27FC236}">
              <a16:creationId xmlns:a16="http://schemas.microsoft.com/office/drawing/2014/main" xmlns="" id="{6764FF62-7C99-09D6-B640-2BDF44A7F234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1026" name="_x0000_t202" hidden="1">
          <a:extLst>
            <a:ext uri="{FF2B5EF4-FFF2-40B4-BE49-F238E27FC236}">
              <a16:creationId xmlns:a16="http://schemas.microsoft.com/office/drawing/2014/main" xmlns="" id="{0CA8BC98-A0B1-20BD-55AC-CACACF174BBD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2" name="AutoShape 10"/>
        <xdr:cNvSpPr>
          <a:spLocks noChangeArrowheads="1"/>
        </xdr:cNvSpPr>
      </xdr:nvSpPr>
      <xdr:spPr bwMode="auto">
        <a:xfrm>
          <a:off x="0" y="0"/>
          <a:ext cx="9525000" cy="9915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3" name="AutoShape 8"/>
        <xdr:cNvSpPr>
          <a:spLocks noChangeArrowheads="1"/>
        </xdr:cNvSpPr>
      </xdr:nvSpPr>
      <xdr:spPr bwMode="auto">
        <a:xfrm>
          <a:off x="0" y="0"/>
          <a:ext cx="9525000" cy="9915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4" name="AutoShape 6"/>
        <xdr:cNvSpPr>
          <a:spLocks noChangeArrowheads="1"/>
        </xdr:cNvSpPr>
      </xdr:nvSpPr>
      <xdr:spPr bwMode="auto">
        <a:xfrm>
          <a:off x="0" y="0"/>
          <a:ext cx="9525000" cy="9915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5" name="AutoShape 4"/>
        <xdr:cNvSpPr>
          <a:spLocks noChangeArrowheads="1"/>
        </xdr:cNvSpPr>
      </xdr:nvSpPr>
      <xdr:spPr bwMode="auto">
        <a:xfrm>
          <a:off x="0" y="0"/>
          <a:ext cx="9525000" cy="9915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6" name="AutoShape 2"/>
        <xdr:cNvSpPr>
          <a:spLocks noChangeArrowheads="1"/>
        </xdr:cNvSpPr>
      </xdr:nvSpPr>
      <xdr:spPr bwMode="auto">
        <a:xfrm>
          <a:off x="0" y="0"/>
          <a:ext cx="9525000" cy="9915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2058" name="_x0000_t202" hidden="1">
          <a:extLst>
            <a:ext uri="{FF2B5EF4-FFF2-40B4-BE49-F238E27FC236}">
              <a16:creationId xmlns:a16="http://schemas.microsoft.com/office/drawing/2014/main" xmlns="" id="{2C369EDA-97F0-A4C1-80EB-44C59A6EE783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2056" name="_x0000_t202" hidden="1">
          <a:extLst>
            <a:ext uri="{FF2B5EF4-FFF2-40B4-BE49-F238E27FC236}">
              <a16:creationId xmlns:a16="http://schemas.microsoft.com/office/drawing/2014/main" xmlns="" id="{F16ADACE-A9F7-D335-4CFE-DF6C4E3B7DED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2054" name="_x0000_t202" hidden="1">
          <a:extLst>
            <a:ext uri="{FF2B5EF4-FFF2-40B4-BE49-F238E27FC236}">
              <a16:creationId xmlns:a16="http://schemas.microsoft.com/office/drawing/2014/main" xmlns="" id="{5B713D57-F631-B228-1FA9-4D9B842782E7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2052" name="_x0000_t202" hidden="1">
          <a:extLst>
            <a:ext uri="{FF2B5EF4-FFF2-40B4-BE49-F238E27FC236}">
              <a16:creationId xmlns:a16="http://schemas.microsoft.com/office/drawing/2014/main" xmlns="" id="{32ADEB5F-1A09-0DC7-9BB5-A271F86BED22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2050" name="_x0000_t202" hidden="1">
          <a:extLst>
            <a:ext uri="{FF2B5EF4-FFF2-40B4-BE49-F238E27FC236}">
              <a16:creationId xmlns:a16="http://schemas.microsoft.com/office/drawing/2014/main" xmlns="" id="{C8777DE2-2E7F-B1DD-0EE6-AC159A6FE56A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2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3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4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5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6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3082" name="_x0000_t202" hidden="1">
          <a:extLst>
            <a:ext uri="{FF2B5EF4-FFF2-40B4-BE49-F238E27FC236}">
              <a16:creationId xmlns:a16="http://schemas.microsoft.com/office/drawing/2014/main" xmlns="" id="{41FB8E7C-F52E-D16B-B342-70E9C82F589F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3080" name="_x0000_t202" hidden="1">
          <a:extLst>
            <a:ext uri="{FF2B5EF4-FFF2-40B4-BE49-F238E27FC236}">
              <a16:creationId xmlns:a16="http://schemas.microsoft.com/office/drawing/2014/main" xmlns="" id="{47EB9D6A-8F13-AFE9-A918-90C659B4D657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3078" name="_x0000_t202" hidden="1">
          <a:extLst>
            <a:ext uri="{FF2B5EF4-FFF2-40B4-BE49-F238E27FC236}">
              <a16:creationId xmlns:a16="http://schemas.microsoft.com/office/drawing/2014/main" xmlns="" id="{3A4CC754-2AD6-1DF4-5E5E-E9C8D60FE40E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3076" name="_x0000_t202" hidden="1">
          <a:extLst>
            <a:ext uri="{FF2B5EF4-FFF2-40B4-BE49-F238E27FC236}">
              <a16:creationId xmlns:a16="http://schemas.microsoft.com/office/drawing/2014/main" xmlns="" id="{93608E5F-9251-8E4F-C90C-CA04E8CF2155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3074" name="_x0000_t202" hidden="1">
          <a:extLst>
            <a:ext uri="{FF2B5EF4-FFF2-40B4-BE49-F238E27FC236}">
              <a16:creationId xmlns:a16="http://schemas.microsoft.com/office/drawing/2014/main" xmlns="" id="{44BB82D3-F7E1-42C8-89F9-C1939B81ADF6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2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3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4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5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85725</xdr:colOff>
      <xdr:row>23</xdr:row>
      <xdr:rowOff>276225</xdr:rowOff>
    </xdr:to>
    <xdr:sp macro="" textlink="">
      <xdr:nvSpPr>
        <xdr:cNvPr id="6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200025</xdr:colOff>
      <xdr:row>25</xdr:row>
      <xdr:rowOff>238125</xdr:rowOff>
    </xdr:to>
    <xdr:sp macro="" textlink="">
      <xdr:nvSpPr>
        <xdr:cNvPr id="4098" name="_x0000_t202" hidden="1">
          <a:extLst>
            <a:ext uri="{FF2B5EF4-FFF2-40B4-BE49-F238E27FC236}">
              <a16:creationId xmlns:a16="http://schemas.microsoft.com/office/drawing/2014/main" xmlns="" id="{A75EBFC3-39B5-DEDF-303B-0FC53E29B91D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200025</xdr:colOff>
      <xdr:row>25</xdr:row>
      <xdr:rowOff>238125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0;&#1079;&#1084;&#1077;&#1085;&#1077;&#1085;&#1080;&#1103;%20&#1103;&#1085;&#1074;&#1072;&#1088;&#1100;%202025%20&#1075;%20&#1085;&#1072;%202025-2027%20&#1075;&#107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0;&#1079;&#1084;&#1077;&#1085;&#1077;&#1085;&#1080;&#1103;&#1092;&#1077;&#1074;&#1088;&#1072;&#1083;&#1100;%202025%20&#1075;%20&#1085;&#1072;%202025-2027%20&#1075;&#1075;_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зменения январь 2025 г на 2025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змененияфевраль 2025 г на 2025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29FCF"/>
    <pageSetUpPr fitToPage="1"/>
  </sheetPr>
  <dimension ref="A1:IX120"/>
  <sheetViews>
    <sheetView tabSelected="1" zoomScale="74" zoomScaleNormal="74" workbookViewId="0">
      <selection activeCell="I1" sqref="I1:K1"/>
    </sheetView>
  </sheetViews>
  <sheetFormatPr defaultRowHeight="18.75"/>
  <cols>
    <col min="1" max="1" width="8.42578125" style="1" customWidth="1"/>
    <col min="2" max="2" width="57.42578125" style="2" customWidth="1"/>
    <col min="3" max="3" width="29.5703125" style="2" customWidth="1"/>
    <col min="4" max="4" width="22.85546875" style="2" customWidth="1"/>
    <col min="5" max="5" width="23.28515625" style="2" customWidth="1"/>
    <col min="6" max="6" width="21.42578125" style="2" customWidth="1"/>
    <col min="7" max="7" width="24" style="2" customWidth="1"/>
    <col min="8" max="8" width="21" style="2" customWidth="1"/>
    <col min="9" max="9" width="20.28515625" style="2" customWidth="1"/>
    <col min="10" max="10" width="19" style="2" customWidth="1"/>
    <col min="11" max="11" width="23.42578125" style="3" customWidth="1"/>
    <col min="12" max="253" width="8.42578125" style="4" customWidth="1"/>
    <col min="254" max="254" width="5.42578125" style="4" customWidth="1"/>
    <col min="255" max="255" width="18.42578125" style="4" customWidth="1"/>
    <col min="256" max="256" width="38.42578125" style="4" customWidth="1"/>
    <col min="257" max="258" width="35.42578125" style="4" customWidth="1"/>
    <col min="259" max="1025" width="35.42578125" customWidth="1"/>
  </cols>
  <sheetData>
    <row r="1" spans="1:11" ht="88.9" customHeight="1">
      <c r="G1"/>
      <c r="H1" s="5"/>
      <c r="I1" s="70" t="s">
        <v>94</v>
      </c>
      <c r="J1" s="70"/>
      <c r="K1" s="70"/>
    </row>
    <row r="2" spans="1:11" ht="40.9" customHeight="1">
      <c r="A2" s="6"/>
      <c r="B2" s="7"/>
      <c r="C2" s="7"/>
      <c r="D2" s="7"/>
      <c r="G2"/>
      <c r="H2" s="8"/>
      <c r="I2" s="71" t="s">
        <v>1</v>
      </c>
      <c r="J2" s="71"/>
      <c r="K2" s="8"/>
    </row>
    <row r="3" spans="1:11" ht="21" customHeight="1">
      <c r="A3" s="6"/>
      <c r="B3" s="7"/>
      <c r="C3" s="7"/>
      <c r="D3" s="7"/>
      <c r="G3"/>
      <c r="H3" s="9"/>
      <c r="I3" s="71" t="s">
        <v>2</v>
      </c>
      <c r="J3" s="71"/>
      <c r="K3" s="71"/>
    </row>
    <row r="4" spans="1:11" ht="18.600000000000001" customHeight="1">
      <c r="A4" s="6"/>
      <c r="B4" s="7"/>
      <c r="C4" s="7"/>
      <c r="D4" s="7"/>
      <c r="G4" s="10"/>
      <c r="H4" s="10"/>
      <c r="I4" s="10"/>
      <c r="J4" s="10"/>
      <c r="K4" s="11"/>
    </row>
    <row r="5" spans="1:11" ht="51.2" customHeight="1">
      <c r="A5"/>
      <c r="B5" s="72" t="s">
        <v>3</v>
      </c>
      <c r="C5" s="72"/>
      <c r="D5" s="72"/>
      <c r="E5" s="72"/>
      <c r="F5" s="72"/>
      <c r="G5" s="72"/>
      <c r="H5" s="72"/>
      <c r="I5" s="72"/>
      <c r="J5" s="72"/>
      <c r="K5" s="72"/>
    </row>
    <row r="6" spans="1:11" s="13" customFormat="1">
      <c r="A6" s="1"/>
      <c r="B6" s="2"/>
      <c r="C6" s="2"/>
      <c r="D6" s="2"/>
      <c r="E6" s="12"/>
      <c r="F6" s="12"/>
      <c r="G6" s="12"/>
      <c r="H6" s="12"/>
      <c r="I6" s="12"/>
      <c r="J6" s="12"/>
      <c r="K6" s="3"/>
    </row>
    <row r="7" spans="1:11" s="13" customFormat="1" ht="30.75" customHeight="1">
      <c r="A7" s="73" t="s">
        <v>4</v>
      </c>
      <c r="B7" s="74" t="s">
        <v>5</v>
      </c>
      <c r="C7" s="74" t="s">
        <v>6</v>
      </c>
      <c r="D7" s="75" t="s">
        <v>7</v>
      </c>
      <c r="E7" s="75"/>
      <c r="F7" s="75"/>
      <c r="G7" s="75"/>
      <c r="H7" s="75"/>
      <c r="I7" s="75"/>
      <c r="J7" s="75"/>
      <c r="K7" s="75"/>
    </row>
    <row r="8" spans="1:11" s="13" customFormat="1" ht="72.75" customHeight="1">
      <c r="A8" s="73"/>
      <c r="B8" s="74"/>
      <c r="C8" s="74"/>
      <c r="D8" s="14" t="s">
        <v>8</v>
      </c>
      <c r="E8" s="14" t="s">
        <v>9</v>
      </c>
      <c r="F8" s="14" t="s">
        <v>10</v>
      </c>
      <c r="G8" s="14" t="s">
        <v>11</v>
      </c>
      <c r="H8" s="14" t="s">
        <v>12</v>
      </c>
      <c r="I8" s="14" t="s">
        <v>13</v>
      </c>
      <c r="J8" s="14" t="s">
        <v>14</v>
      </c>
      <c r="K8" s="14" t="s">
        <v>15</v>
      </c>
    </row>
    <row r="9" spans="1:11" s="21" customFormat="1" ht="27.75" customHeight="1">
      <c r="A9" s="69"/>
      <c r="B9" s="57" t="s">
        <v>16</v>
      </c>
      <c r="C9" s="17" t="s">
        <v>17</v>
      </c>
      <c r="D9" s="18">
        <f t="shared" ref="D9:J9" si="0">SUM(D10:D12)</f>
        <v>231720.74199999997</v>
      </c>
      <c r="E9" s="19">
        <f t="shared" si="0"/>
        <v>251967.53399999999</v>
      </c>
      <c r="F9" s="19">
        <f t="shared" si="0"/>
        <v>282378.47200000001</v>
      </c>
      <c r="G9" s="20">
        <f t="shared" si="0"/>
        <v>310561.42</v>
      </c>
      <c r="H9" s="20">
        <f t="shared" si="0"/>
        <v>314260.40000000002</v>
      </c>
      <c r="I9" s="20">
        <f t="shared" si="0"/>
        <v>306288.8</v>
      </c>
      <c r="J9" s="20">
        <f t="shared" si="0"/>
        <v>366249.4</v>
      </c>
      <c r="K9" s="19">
        <v>2063426.7</v>
      </c>
    </row>
    <row r="10" spans="1:11" s="21" customFormat="1">
      <c r="A10" s="69"/>
      <c r="B10" s="57"/>
      <c r="C10" s="22" t="s">
        <v>18</v>
      </c>
      <c r="D10" s="23">
        <f>SUM(D14+D88+D94+D102+D108)</f>
        <v>6445.3</v>
      </c>
      <c r="E10" s="24">
        <f>SUM(E14+E88+E94+E102+E108)</f>
        <v>6105.0339999999997</v>
      </c>
      <c r="F10" s="24">
        <f>SUM(F14+F88+F94+F102+F108+F112)</f>
        <v>6980.4780000000001</v>
      </c>
      <c r="G10" s="24">
        <f>SUM(G14+G88+G94+G102+G108)</f>
        <v>9385.36</v>
      </c>
      <c r="H10" s="24">
        <f>SUM(H14+H88+H94+H102+H108)</f>
        <v>11536.911999999998</v>
      </c>
      <c r="I10" s="24">
        <f>SUM(I14+I88+I94+I102+I108)</f>
        <v>11302.891999999998</v>
      </c>
      <c r="J10" s="24">
        <f>SUM(J14+J88+J94+J102+J108)</f>
        <v>64103.15</v>
      </c>
      <c r="K10" s="25">
        <f t="shared" ref="K10:K41" si="1">SUM(D10:J10)</f>
        <v>115859.12599999999</v>
      </c>
    </row>
    <row r="11" spans="1:11" s="21" customFormat="1">
      <c r="A11" s="69"/>
      <c r="B11" s="57"/>
      <c r="C11" s="22" t="s">
        <v>19</v>
      </c>
      <c r="D11" s="23">
        <f>SUM(D15+D89+D95)</f>
        <v>135973.96299999999</v>
      </c>
      <c r="E11" s="24">
        <f>SUM(E15+E89+E95)</f>
        <v>158372.66999999998</v>
      </c>
      <c r="F11" s="24">
        <f>SUM(F15+F89+F95)</f>
        <v>174278.00200000001</v>
      </c>
      <c r="G11" s="24">
        <f>SUM(G15+G89+G95)</f>
        <v>201359.96000000002</v>
      </c>
      <c r="H11" s="24">
        <f>SUM(H15+H89+H99+H106)</f>
        <v>186511.58799999999</v>
      </c>
      <c r="I11" s="24">
        <f>SUM(I15+I89+I99+I106)</f>
        <v>187465.008</v>
      </c>
      <c r="J11" s="24">
        <f>SUM(J15+J89+J99+J106)</f>
        <v>186121.45</v>
      </c>
      <c r="K11" s="25">
        <f t="shared" si="1"/>
        <v>1230082.6410000001</v>
      </c>
    </row>
    <row r="12" spans="1:11" s="27" customFormat="1" ht="23.25" customHeight="1">
      <c r="A12" s="69"/>
      <c r="B12" s="57"/>
      <c r="C12" s="22" t="s">
        <v>20</v>
      </c>
      <c r="D12" s="23">
        <f>SUM(D16+D90+D96+D104+D110)</f>
        <v>89301.478999999992</v>
      </c>
      <c r="E12" s="24">
        <f>SUM(E16+E90+E96+E104+E110)</f>
        <v>87489.83</v>
      </c>
      <c r="F12" s="26">
        <f>SUM(F16+F90+F96+F104+F110)</f>
        <v>101119.992</v>
      </c>
      <c r="G12" s="24">
        <f>SUM(G16+G90+G96+G104+G110)</f>
        <v>99816.099999999977</v>
      </c>
      <c r="H12" s="24">
        <f>SUM(H16+H90+H100+H104+H110)</f>
        <v>116211.9</v>
      </c>
      <c r="I12" s="24">
        <f>SUM(I16+I90+I100+I104+I110)</f>
        <v>107520.90000000001</v>
      </c>
      <c r="J12" s="24">
        <f>SUM(J16+J90+J100+J104+J110)</f>
        <v>116024.80000000002</v>
      </c>
      <c r="K12" s="25">
        <f t="shared" si="1"/>
        <v>717485.00100000005</v>
      </c>
    </row>
    <row r="13" spans="1:11" s="7" customFormat="1" ht="25.35" customHeight="1">
      <c r="A13" s="56">
        <v>1</v>
      </c>
      <c r="B13" s="57" t="s">
        <v>21</v>
      </c>
      <c r="C13" s="17" t="s">
        <v>17</v>
      </c>
      <c r="D13" s="18">
        <f t="shared" ref="D13:J13" si="2">SUM(D14:D16)</f>
        <v>210846.52799999999</v>
      </c>
      <c r="E13" s="18">
        <f t="shared" si="2"/>
        <v>229197.5</v>
      </c>
      <c r="F13" s="28">
        <f t="shared" si="2"/>
        <v>257470.592</v>
      </c>
      <c r="G13" s="28">
        <f t="shared" si="2"/>
        <v>284501.52999999997</v>
      </c>
      <c r="H13" s="28">
        <f t="shared" si="2"/>
        <v>286298.40000000002</v>
      </c>
      <c r="I13" s="28">
        <f t="shared" si="2"/>
        <v>277646.3</v>
      </c>
      <c r="J13" s="28">
        <f t="shared" si="2"/>
        <v>337027.9</v>
      </c>
      <c r="K13" s="18">
        <f t="shared" si="1"/>
        <v>1882988.75</v>
      </c>
    </row>
    <row r="14" spans="1:11" ht="25.5" customHeight="1">
      <c r="A14" s="56"/>
      <c r="B14" s="57"/>
      <c r="C14" s="22" t="s">
        <v>22</v>
      </c>
      <c r="D14" s="29">
        <f>SUM(D18+D26)</f>
        <v>6445.3</v>
      </c>
      <c r="E14" s="29">
        <f>SUM(E18+E26+E68)</f>
        <v>6105.0339999999997</v>
      </c>
      <c r="F14" s="28">
        <f>SUM(F18+F26)</f>
        <v>6980.4780000000001</v>
      </c>
      <c r="G14" s="28">
        <f>SUM(G18+G26)</f>
        <v>9385.36</v>
      </c>
      <c r="H14" s="28">
        <f>SUM(H18+H26)</f>
        <v>11536.911999999998</v>
      </c>
      <c r="I14" s="28">
        <f>SUM(I18+I26)</f>
        <v>11302.891999999998</v>
      </c>
      <c r="J14" s="28">
        <f>SUM(J18+J26)</f>
        <v>64103.15</v>
      </c>
      <c r="K14" s="23">
        <f t="shared" si="1"/>
        <v>115859.12599999999</v>
      </c>
    </row>
    <row r="15" spans="1:11" s="7" customFormat="1" ht="23.25" customHeight="1">
      <c r="A15" s="56"/>
      <c r="B15" s="57"/>
      <c r="C15" s="22" t="s">
        <v>23</v>
      </c>
      <c r="D15" s="24">
        <f>SUM(D19+D27+D69+D75)</f>
        <v>126358.56299999999</v>
      </c>
      <c r="E15" s="24">
        <f>SUM(E19+E27+E69+E75+E78)</f>
        <v>147806.76999999999</v>
      </c>
      <c r="F15" s="30">
        <f>SUM(F19+F27+F69+F78+F82)</f>
        <v>163473.622</v>
      </c>
      <c r="G15" s="30">
        <f>SUM(G19+G27+G69+G80+G85)</f>
        <v>190073.14</v>
      </c>
      <c r="H15" s="30">
        <f>SUM(H19+H27+H69+H78+H82)</f>
        <v>173557.58799999999</v>
      </c>
      <c r="I15" s="30">
        <f>SUM(I19+I27+I69+I78+I82)</f>
        <v>173826.008</v>
      </c>
      <c r="J15" s="30">
        <f>SUM(J19+J27+J69+J78+J82)</f>
        <v>171903.45</v>
      </c>
      <c r="K15" s="23">
        <f t="shared" si="1"/>
        <v>1146999.1410000001</v>
      </c>
    </row>
    <row r="16" spans="1:11" s="21" customFormat="1">
      <c r="A16" s="56"/>
      <c r="B16" s="57"/>
      <c r="C16" s="22" t="s">
        <v>20</v>
      </c>
      <c r="D16" s="24">
        <f>SUM(D20+D28+D70+D72+D76)</f>
        <v>78042.664999999994</v>
      </c>
      <c r="E16" s="24">
        <f>SUM(E20+E28+E70+E72+E76)</f>
        <v>75285.695999999996</v>
      </c>
      <c r="F16" s="30">
        <f>SUM(F20+F28+F70+F72+F83)</f>
        <v>87016.491999999998</v>
      </c>
      <c r="G16" s="30">
        <f>SUM(G20+G28+G70+G72+G86)</f>
        <v>85043.029999999984</v>
      </c>
      <c r="H16" s="30">
        <f>SUM(H20+H28+H70+H72+H83)</f>
        <v>101203.9</v>
      </c>
      <c r="I16" s="30">
        <f>SUM(I20+I28+I70+I72+I83)</f>
        <v>92517.400000000009</v>
      </c>
      <c r="J16" s="30">
        <f>SUM(J20+J28+J70+J72+J83)</f>
        <v>101021.30000000002</v>
      </c>
      <c r="K16" s="23">
        <f t="shared" si="1"/>
        <v>620130.48300000001</v>
      </c>
    </row>
    <row r="17" spans="1:11" s="7" customFormat="1" ht="19.350000000000001" customHeight="1">
      <c r="A17" s="59" t="s">
        <v>24</v>
      </c>
      <c r="B17" s="57" t="s">
        <v>25</v>
      </c>
      <c r="C17" s="17" t="s">
        <v>17</v>
      </c>
      <c r="D17" s="28">
        <f t="shared" ref="D17:J17" si="3">SUM(D18:D20)</f>
        <v>124072.935</v>
      </c>
      <c r="E17" s="28">
        <f t="shared" si="3"/>
        <v>135535.09599999999</v>
      </c>
      <c r="F17" s="28">
        <f t="shared" si="3"/>
        <v>153022.04</v>
      </c>
      <c r="G17" s="28">
        <f t="shared" si="3"/>
        <v>168311.5</v>
      </c>
      <c r="H17" s="28">
        <f t="shared" si="3"/>
        <v>173525.59999999998</v>
      </c>
      <c r="I17" s="28">
        <f t="shared" si="3"/>
        <v>167609</v>
      </c>
      <c r="J17" s="28">
        <f t="shared" si="3"/>
        <v>168559.2</v>
      </c>
      <c r="K17" s="18">
        <f t="shared" si="1"/>
        <v>1090635.371</v>
      </c>
    </row>
    <row r="18" spans="1:11" s="7" customFormat="1" ht="26.25" customHeight="1">
      <c r="A18" s="59"/>
      <c r="B18" s="57"/>
      <c r="C18" s="22" t="s">
        <v>18</v>
      </c>
      <c r="D18" s="30"/>
      <c r="E18" s="30"/>
      <c r="F18" s="30"/>
      <c r="G18" s="30"/>
      <c r="H18" s="30"/>
      <c r="I18" s="30"/>
      <c r="J18" s="30"/>
      <c r="K18" s="23">
        <f t="shared" si="1"/>
        <v>0</v>
      </c>
    </row>
    <row r="19" spans="1:11" s="7" customFormat="1" ht="26.25" customHeight="1">
      <c r="A19" s="59"/>
      <c r="B19" s="57"/>
      <c r="C19" s="22" t="s">
        <v>23</v>
      </c>
      <c r="D19" s="30">
        <v>71134</v>
      </c>
      <c r="E19" s="30">
        <f>79060.4-1697.7+4260+6672-438.6</f>
        <v>87856.099999999991</v>
      </c>
      <c r="F19" s="30">
        <f>76016.7+2466.4+2458+7644.8+6461.7-90-952</f>
        <v>94005.599999999991</v>
      </c>
      <c r="G19" s="30">
        <f>92557+4389.2+162.5+350.3+145.3+4864.2+6048.1+86.1-286.8</f>
        <v>108315.90000000001</v>
      </c>
      <c r="H19" s="30">
        <v>99710.7</v>
      </c>
      <c r="I19" s="30">
        <v>100070.9</v>
      </c>
      <c r="J19" s="30">
        <v>92898.1</v>
      </c>
      <c r="K19" s="23">
        <f t="shared" si="1"/>
        <v>653991.29999999993</v>
      </c>
    </row>
    <row r="20" spans="1:11" s="7" customFormat="1" ht="26.25" customHeight="1">
      <c r="A20" s="59"/>
      <c r="B20" s="57"/>
      <c r="C20" s="40" t="s">
        <v>20</v>
      </c>
      <c r="D20" s="23">
        <v>52938.934999999998</v>
      </c>
      <c r="E20" s="30">
        <f>48011.4+1724.896+1697.7-2423.2-1162.9+282.8-451.7</f>
        <v>47678.996000000006</v>
      </c>
      <c r="F20" s="30">
        <f>55670.5+4087.1+398.4+11.9-199.1-410-8.96-482.2-30.1-21.1</f>
        <v>59016.44000000001</v>
      </c>
      <c r="G20" s="30">
        <f>56204.2+136.6+15+27+600+269.9+2758.1-74+736.1+361.4-1.2-996-40.7-0.8</f>
        <v>59995.6</v>
      </c>
      <c r="H20" s="30">
        <f>71262.4-844.5+3397</f>
        <v>73814.899999999994</v>
      </c>
      <c r="I20" s="30">
        <f>68187.8-649.7</f>
        <v>67538.100000000006</v>
      </c>
      <c r="J20" s="30">
        <f>76683.8-1022.7</f>
        <v>75661.100000000006</v>
      </c>
      <c r="K20" s="23">
        <f t="shared" si="1"/>
        <v>436644.071</v>
      </c>
    </row>
    <row r="21" spans="1:11" s="7" customFormat="1" ht="26.85" customHeight="1">
      <c r="A21" s="56" t="s">
        <v>26</v>
      </c>
      <c r="B21" s="60" t="s">
        <v>27</v>
      </c>
      <c r="C21" s="37" t="s">
        <v>17</v>
      </c>
      <c r="D21" s="30">
        <f t="shared" ref="D21:J21" si="4">SUM(D22)</f>
        <v>1444.2</v>
      </c>
      <c r="E21" s="30">
        <f t="shared" si="4"/>
        <v>1492.1</v>
      </c>
      <c r="F21" s="30">
        <f t="shared" si="4"/>
        <v>1514.4</v>
      </c>
      <c r="G21" s="30">
        <f t="shared" si="4"/>
        <v>1345.2</v>
      </c>
      <c r="H21" s="30">
        <f t="shared" si="4"/>
        <v>1284</v>
      </c>
      <c r="I21" s="30">
        <f t="shared" si="4"/>
        <v>1284</v>
      </c>
      <c r="J21" s="30">
        <f t="shared" si="4"/>
        <v>1284</v>
      </c>
      <c r="K21" s="23">
        <f t="shared" si="1"/>
        <v>9647.9000000000015</v>
      </c>
    </row>
    <row r="22" spans="1:11" s="7" customFormat="1" ht="74.25" customHeight="1">
      <c r="A22" s="56"/>
      <c r="B22" s="60"/>
      <c r="C22" s="40" t="s">
        <v>19</v>
      </c>
      <c r="D22" s="30">
        <v>1444.2</v>
      </c>
      <c r="E22" s="30">
        <v>1492.1</v>
      </c>
      <c r="F22" s="30">
        <f>2466.4-952</f>
        <v>1514.4</v>
      </c>
      <c r="G22" s="30">
        <f>1632-286.8</f>
        <v>1345.2</v>
      </c>
      <c r="H22" s="30">
        <v>1284</v>
      </c>
      <c r="I22" s="30">
        <v>1284</v>
      </c>
      <c r="J22" s="30">
        <v>1284</v>
      </c>
      <c r="K22" s="23">
        <f t="shared" si="1"/>
        <v>9647.9000000000015</v>
      </c>
    </row>
    <row r="23" spans="1:11" s="7" customFormat="1" ht="39.6" customHeight="1">
      <c r="A23" s="56" t="s">
        <v>28</v>
      </c>
      <c r="B23" s="60" t="s">
        <v>29</v>
      </c>
      <c r="C23" s="37" t="s">
        <v>17</v>
      </c>
      <c r="D23" s="30">
        <f t="shared" ref="D23:I23" si="5">SUM(D24)</f>
        <v>0</v>
      </c>
      <c r="E23" s="30">
        <f t="shared" si="5"/>
        <v>717.4</v>
      </c>
      <c r="F23" s="30">
        <f t="shared" si="5"/>
        <v>0</v>
      </c>
      <c r="G23" s="30">
        <f t="shared" si="5"/>
        <v>0</v>
      </c>
      <c r="H23" s="30">
        <f t="shared" si="5"/>
        <v>0</v>
      </c>
      <c r="I23" s="30">
        <f t="shared" si="5"/>
        <v>0</v>
      </c>
      <c r="J23" s="30"/>
      <c r="K23" s="23">
        <f t="shared" si="1"/>
        <v>717.4</v>
      </c>
    </row>
    <row r="24" spans="1:11" s="7" customFormat="1" ht="39.6" customHeight="1">
      <c r="A24" s="56"/>
      <c r="B24" s="60"/>
      <c r="C24" s="40" t="s">
        <v>19</v>
      </c>
      <c r="D24" s="30">
        <v>0</v>
      </c>
      <c r="E24" s="30">
        <f>697.5+19.9</f>
        <v>717.4</v>
      </c>
      <c r="F24" s="30">
        <v>0</v>
      </c>
      <c r="G24" s="30">
        <v>0</v>
      </c>
      <c r="H24" s="30">
        <v>0</v>
      </c>
      <c r="I24" s="30">
        <v>0</v>
      </c>
      <c r="J24" s="30"/>
      <c r="K24" s="23">
        <f t="shared" si="1"/>
        <v>717.4</v>
      </c>
    </row>
    <row r="25" spans="1:11" s="7" customFormat="1" ht="30.4" customHeight="1">
      <c r="A25" s="56" t="s">
        <v>30</v>
      </c>
      <c r="B25" s="57" t="s">
        <v>31</v>
      </c>
      <c r="C25" s="17" t="s">
        <v>17</v>
      </c>
      <c r="D25" s="28">
        <f t="shared" ref="D25:J25" si="6">SUM(D26:D28)</f>
        <v>69732.22</v>
      </c>
      <c r="E25" s="18">
        <f t="shared" si="6"/>
        <v>77012.804000000004</v>
      </c>
      <c r="F25" s="28">
        <f t="shared" si="6"/>
        <v>81148.752000000008</v>
      </c>
      <c r="G25" s="29">
        <f t="shared" si="6"/>
        <v>92900.13</v>
      </c>
      <c r="H25" s="29">
        <f t="shared" si="6"/>
        <v>93724.800000000003</v>
      </c>
      <c r="I25" s="28">
        <f t="shared" si="6"/>
        <v>91307.7</v>
      </c>
      <c r="J25" s="28">
        <f t="shared" si="6"/>
        <v>149641.1</v>
      </c>
      <c r="K25" s="18">
        <f t="shared" si="1"/>
        <v>655467.50600000005</v>
      </c>
    </row>
    <row r="26" spans="1:11" s="7" customFormat="1" ht="25.35" customHeight="1">
      <c r="A26" s="56"/>
      <c r="B26" s="57"/>
      <c r="C26" s="22" t="s">
        <v>18</v>
      </c>
      <c r="D26" s="30">
        <v>6445.3</v>
      </c>
      <c r="E26" s="23">
        <f>6616.296-600-50.3+84.8+240.07-8.8-177-0.032</f>
        <v>6105.0339999999997</v>
      </c>
      <c r="F26" s="23">
        <v>6980.4780000000001</v>
      </c>
      <c r="G26" s="24">
        <f>7000.3+670+149.9+2174.8-30.1-612.4+32.86</f>
        <v>9385.36</v>
      </c>
      <c r="H26" s="24">
        <f>H32+H34+H36+H40+H54+H58</f>
        <v>11536.911999999998</v>
      </c>
      <c r="I26" s="24">
        <f>I32+I34+I36+I40+I54+I58</f>
        <v>11302.891999999998</v>
      </c>
      <c r="J26" s="24">
        <f>J32+J34+J36+J40+J54+J58+J64</f>
        <v>64103.15</v>
      </c>
      <c r="K26" s="23">
        <f t="shared" si="1"/>
        <v>115859.12599999999</v>
      </c>
    </row>
    <row r="27" spans="1:11" ht="22.7" customHeight="1">
      <c r="A27" s="56"/>
      <c r="B27" s="57"/>
      <c r="C27" s="22" t="s">
        <v>19</v>
      </c>
      <c r="D27" s="30">
        <v>48668</v>
      </c>
      <c r="E27" s="23">
        <f>52411.204+600+1339.2-2.6+2.43-223.164</f>
        <v>54127.07</v>
      </c>
      <c r="F27" s="23">
        <v>57028.122000000003</v>
      </c>
      <c r="G27" s="24">
        <f>57255.6-0.1+2548+44.5+55.5+2198+177.3+24.8+4467.4-49.1-120.2-934+5.5+2.14</f>
        <v>65675.34</v>
      </c>
      <c r="H27" s="24">
        <v>63846.887999999999</v>
      </c>
      <c r="I27" s="23">
        <v>63755.108</v>
      </c>
      <c r="J27" s="23">
        <f>63771.15+J65</f>
        <v>69005.350000000006</v>
      </c>
      <c r="K27" s="23">
        <f t="shared" si="1"/>
        <v>422105.87800000003</v>
      </c>
    </row>
    <row r="28" spans="1:11" ht="29.1" customHeight="1">
      <c r="A28" s="56"/>
      <c r="B28" s="57"/>
      <c r="C28" s="22" t="s">
        <v>20</v>
      </c>
      <c r="D28" s="30">
        <v>14618.92</v>
      </c>
      <c r="E28" s="30">
        <f>11952.3+1891.5+3137.6+154.9-352.9-2.7</f>
        <v>16780.699999999997</v>
      </c>
      <c r="F28" s="36">
        <v>17140.151999999998</v>
      </c>
      <c r="G28" s="30">
        <f>14334+128.43+10+119.7-600+837.2-0.1+2854.1+41.2+152.5-29.4+1.4-9.6</f>
        <v>17839.430000000004</v>
      </c>
      <c r="H28" s="30">
        <f>17265.9+514.1+561</f>
        <v>18341</v>
      </c>
      <c r="I28" s="36">
        <f>15775.1+474.6</f>
        <v>16249.7</v>
      </c>
      <c r="J28" s="36">
        <f>15195.5+J66+749.6</f>
        <v>16532.599999999999</v>
      </c>
      <c r="K28" s="23">
        <f t="shared" si="1"/>
        <v>117502.50200000001</v>
      </c>
    </row>
    <row r="29" spans="1:11" ht="26.65" customHeight="1">
      <c r="A29" s="56" t="s">
        <v>32</v>
      </c>
      <c r="B29" s="68" t="s">
        <v>33</v>
      </c>
      <c r="C29" s="17" t="s">
        <v>17</v>
      </c>
      <c r="D29" s="30">
        <f t="shared" ref="D29:J29" si="7">SUM(D30)</f>
        <v>34.299999999999997</v>
      </c>
      <c r="E29" s="30">
        <f t="shared" si="7"/>
        <v>34.299999999999997</v>
      </c>
      <c r="F29" s="23">
        <f t="shared" si="7"/>
        <v>50.805999999999997</v>
      </c>
      <c r="G29" s="30">
        <f t="shared" si="7"/>
        <v>156.80000000000001</v>
      </c>
      <c r="H29" s="30">
        <f t="shared" si="7"/>
        <v>219.4</v>
      </c>
      <c r="I29" s="23">
        <f t="shared" si="7"/>
        <v>219.4</v>
      </c>
      <c r="J29" s="23">
        <f t="shared" si="7"/>
        <v>219.4</v>
      </c>
      <c r="K29" s="23">
        <f t="shared" si="1"/>
        <v>934.40599999999995</v>
      </c>
    </row>
    <row r="30" spans="1:11" ht="27.75" customHeight="1">
      <c r="A30" s="56"/>
      <c r="B30" s="68"/>
      <c r="C30" s="22" t="s">
        <v>20</v>
      </c>
      <c r="D30" s="30">
        <v>34.299999999999997</v>
      </c>
      <c r="E30" s="30">
        <f>37-2.7</f>
        <v>34.299999999999997</v>
      </c>
      <c r="F30" s="23">
        <v>50.805999999999997</v>
      </c>
      <c r="G30" s="30">
        <v>156.80000000000001</v>
      </c>
      <c r="H30" s="30">
        <v>219.4</v>
      </c>
      <c r="I30" s="23">
        <v>219.4</v>
      </c>
      <c r="J30" s="23">
        <v>219.4</v>
      </c>
      <c r="K30" s="23">
        <f t="shared" si="1"/>
        <v>934.40599999999995</v>
      </c>
    </row>
    <row r="31" spans="1:11" s="39" customFormat="1" ht="23.85" customHeight="1">
      <c r="A31" s="56" t="s">
        <v>34</v>
      </c>
      <c r="B31" s="67" t="s">
        <v>35</v>
      </c>
      <c r="C31" s="37" t="s">
        <v>17</v>
      </c>
      <c r="D31" s="38">
        <f t="shared" ref="D31:I31" si="8">SUM(D32)</f>
        <v>4183.3</v>
      </c>
      <c r="E31" s="38">
        <f t="shared" si="8"/>
        <v>4079.8999999999996</v>
      </c>
      <c r="F31" s="38">
        <f t="shared" si="8"/>
        <v>4402.1000000000004</v>
      </c>
      <c r="G31" s="38">
        <f t="shared" si="8"/>
        <v>0</v>
      </c>
      <c r="H31" s="38">
        <f t="shared" si="8"/>
        <v>0</v>
      </c>
      <c r="I31" s="38">
        <f t="shared" si="8"/>
        <v>0</v>
      </c>
      <c r="J31" s="38" t="s">
        <v>36</v>
      </c>
      <c r="K31" s="23">
        <f t="shared" si="1"/>
        <v>12665.300000000001</v>
      </c>
    </row>
    <row r="32" spans="1:11" s="39" customFormat="1" ht="69.75" customHeight="1">
      <c r="A32" s="56"/>
      <c r="B32" s="67"/>
      <c r="C32" s="40" t="s">
        <v>18</v>
      </c>
      <c r="D32" s="38">
        <v>4183.3</v>
      </c>
      <c r="E32" s="38">
        <f>4222.4-50.3+84.8-177</f>
        <v>4079.8999999999996</v>
      </c>
      <c r="F32" s="26">
        <v>4402.1000000000004</v>
      </c>
      <c r="G32" s="26"/>
      <c r="H32" s="26"/>
      <c r="I32" s="26"/>
      <c r="J32" s="26"/>
      <c r="K32" s="23">
        <f t="shared" si="1"/>
        <v>12665.300000000001</v>
      </c>
    </row>
    <row r="33" spans="1:11" s="39" customFormat="1" ht="55.5" customHeight="1">
      <c r="A33" s="56" t="s">
        <v>37</v>
      </c>
      <c r="B33" s="67" t="s">
        <v>38</v>
      </c>
      <c r="C33" s="37" t="s">
        <v>17</v>
      </c>
      <c r="D33" s="38"/>
      <c r="E33" s="38"/>
      <c r="F33" s="26"/>
      <c r="G33" s="38">
        <f>SUM(G34)</f>
        <v>6634.5000000000009</v>
      </c>
      <c r="H33" s="38">
        <f>SUM(H34)</f>
        <v>8444.7999999999993</v>
      </c>
      <c r="I33" s="38">
        <f>SUM(I34)</f>
        <v>8444.7999999999993</v>
      </c>
      <c r="J33" s="38">
        <f>SUM(J34)</f>
        <v>8444.7999999999993</v>
      </c>
      <c r="K33" s="23">
        <f t="shared" si="1"/>
        <v>31968.899999999998</v>
      </c>
    </row>
    <row r="34" spans="1:11" s="39" customFormat="1" ht="122.25" customHeight="1">
      <c r="A34" s="56"/>
      <c r="B34" s="67"/>
      <c r="C34" s="40" t="s">
        <v>18</v>
      </c>
      <c r="D34" s="38"/>
      <c r="E34" s="38"/>
      <c r="F34" s="26"/>
      <c r="G34" s="26">
        <f>4402.1+670+2174.8-612.4</f>
        <v>6634.5000000000009</v>
      </c>
      <c r="H34" s="26">
        <v>8444.7999999999993</v>
      </c>
      <c r="I34" s="26">
        <v>8444.7999999999993</v>
      </c>
      <c r="J34" s="26">
        <v>8444.7999999999993</v>
      </c>
      <c r="K34" s="23">
        <f t="shared" si="1"/>
        <v>31968.899999999998</v>
      </c>
    </row>
    <row r="35" spans="1:11" s="39" customFormat="1" ht="26.25" customHeight="1">
      <c r="A35" s="56" t="s">
        <v>39</v>
      </c>
      <c r="B35" s="66" t="s">
        <v>40</v>
      </c>
      <c r="C35" s="17" t="s">
        <v>17</v>
      </c>
      <c r="D35" s="30">
        <f t="shared" ref="D35:J35" si="9">SUM(D36:D38)</f>
        <v>1853</v>
      </c>
      <c r="E35" s="23">
        <f t="shared" si="9"/>
        <v>1918.2</v>
      </c>
      <c r="F35" s="41">
        <f t="shared" si="9"/>
        <v>1954.5500000000002</v>
      </c>
      <c r="G35" s="23">
        <f t="shared" si="9"/>
        <v>2024.3</v>
      </c>
      <c r="H35" s="23">
        <f t="shared" si="9"/>
        <v>2130.4</v>
      </c>
      <c r="I35" s="41">
        <f t="shared" si="9"/>
        <v>1907.1</v>
      </c>
      <c r="J35" s="41">
        <f t="shared" si="9"/>
        <v>1785.9</v>
      </c>
      <c r="K35" s="23">
        <f t="shared" si="1"/>
        <v>13573.45</v>
      </c>
    </row>
    <row r="36" spans="1:11" s="39" customFormat="1" ht="26.25" customHeight="1">
      <c r="A36" s="56"/>
      <c r="B36" s="66"/>
      <c r="C36" s="22" t="s">
        <v>18</v>
      </c>
      <c r="D36" s="30">
        <v>1742.7</v>
      </c>
      <c r="E36" s="23">
        <v>1785.06</v>
      </c>
      <c r="F36" s="24">
        <f>1838+27.63-46.945</f>
        <v>1818.6850000000002</v>
      </c>
      <c r="G36" s="24">
        <f>1850.9+32.86</f>
        <v>1883.76</v>
      </c>
      <c r="H36" s="24">
        <v>1982.46</v>
      </c>
      <c r="I36" s="24">
        <v>1736.96</v>
      </c>
      <c r="J36" s="24">
        <v>1608.88</v>
      </c>
      <c r="K36" s="23">
        <f t="shared" si="1"/>
        <v>12558.505000000001</v>
      </c>
    </row>
    <row r="37" spans="1:11" s="39" customFormat="1" ht="26.25" customHeight="1">
      <c r="A37" s="56"/>
      <c r="B37" s="66"/>
      <c r="C37" s="22" t="s">
        <v>19</v>
      </c>
      <c r="D37" s="30">
        <v>91.7</v>
      </c>
      <c r="E37" s="23">
        <v>113.94</v>
      </c>
      <c r="F37" s="24">
        <f>117.6+1.77-3.055</f>
        <v>116.31499999999998</v>
      </c>
      <c r="G37" s="24">
        <f>118.1+2.14</f>
        <v>120.24</v>
      </c>
      <c r="H37" s="24">
        <v>126.54</v>
      </c>
      <c r="I37" s="24">
        <v>151.04</v>
      </c>
      <c r="J37" s="24">
        <v>159.12</v>
      </c>
      <c r="K37" s="23">
        <f t="shared" si="1"/>
        <v>878.89499999999998</v>
      </c>
    </row>
    <row r="38" spans="1:11" s="39" customFormat="1" ht="24.95" customHeight="1">
      <c r="A38" s="56"/>
      <c r="B38" s="66"/>
      <c r="C38" s="22" t="s">
        <v>20</v>
      </c>
      <c r="D38" s="30">
        <v>18.600000000000001</v>
      </c>
      <c r="E38" s="30">
        <v>19.2</v>
      </c>
      <c r="F38" s="30">
        <f>19.8+0.3-0.55</f>
        <v>19.55</v>
      </c>
      <c r="G38" s="30">
        <f>19.9+10-9.6</f>
        <v>20.299999999999997</v>
      </c>
      <c r="H38" s="30">
        <v>21.4</v>
      </c>
      <c r="I38" s="30">
        <v>19.100000000000001</v>
      </c>
      <c r="J38" s="30">
        <v>17.899999999999999</v>
      </c>
      <c r="K38" s="23">
        <f t="shared" si="1"/>
        <v>136.04999999999998</v>
      </c>
    </row>
    <row r="39" spans="1:11" s="39" customFormat="1" ht="25.7" customHeight="1">
      <c r="A39" s="56" t="s">
        <v>41</v>
      </c>
      <c r="B39" s="66" t="s">
        <v>42</v>
      </c>
      <c r="C39" s="17" t="s">
        <v>17</v>
      </c>
      <c r="D39" s="30">
        <f t="shared" ref="D39:I39" si="10">SUM(D40:D42)</f>
        <v>530.02</v>
      </c>
      <c r="E39" s="30">
        <f t="shared" si="10"/>
        <v>0</v>
      </c>
      <c r="F39" s="30">
        <f t="shared" si="10"/>
        <v>0</v>
      </c>
      <c r="G39" s="30">
        <f t="shared" si="10"/>
        <v>0</v>
      </c>
      <c r="H39" s="30">
        <f t="shared" si="10"/>
        <v>0</v>
      </c>
      <c r="I39" s="30">
        <f t="shared" si="10"/>
        <v>0</v>
      </c>
      <c r="J39" s="30"/>
      <c r="K39" s="23">
        <f t="shared" si="1"/>
        <v>530.02</v>
      </c>
    </row>
    <row r="40" spans="1:11" s="39" customFormat="1" ht="25.7" customHeight="1">
      <c r="A40" s="56"/>
      <c r="B40" s="66"/>
      <c r="C40" s="22" t="s">
        <v>18</v>
      </c>
      <c r="D40" s="30">
        <f>666.3-129.1-17.7</f>
        <v>519.49999999999989</v>
      </c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/>
      <c r="K40" s="23">
        <f t="shared" si="1"/>
        <v>519.49999999999989</v>
      </c>
    </row>
    <row r="41" spans="1:11" s="39" customFormat="1" ht="21" customHeight="1">
      <c r="A41" s="56"/>
      <c r="B41" s="66"/>
      <c r="C41" s="22" t="s">
        <v>19</v>
      </c>
      <c r="D41" s="30">
        <f>6.7-1.5</f>
        <v>5.2</v>
      </c>
      <c r="E41" s="30">
        <v>0</v>
      </c>
      <c r="F41" s="30">
        <v>0</v>
      </c>
      <c r="G41" s="30">
        <v>0</v>
      </c>
      <c r="H41" s="30">
        <v>0</v>
      </c>
      <c r="I41" s="30">
        <v>0</v>
      </c>
      <c r="J41" s="30"/>
      <c r="K41" s="23">
        <f t="shared" si="1"/>
        <v>5.2</v>
      </c>
    </row>
    <row r="42" spans="1:11" s="39" customFormat="1" ht="30" customHeight="1">
      <c r="A42" s="56"/>
      <c r="B42" s="66"/>
      <c r="C42" s="22" t="s">
        <v>20</v>
      </c>
      <c r="D42" s="30">
        <f>6.8-1.3-0.18</f>
        <v>5.32</v>
      </c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30"/>
      <c r="K42" s="23">
        <f t="shared" ref="K42:K73" si="11">SUM(D42:J42)</f>
        <v>5.32</v>
      </c>
    </row>
    <row r="43" spans="1:11" s="39" customFormat="1" ht="24.95" customHeight="1">
      <c r="A43" s="56" t="s">
        <v>43</v>
      </c>
      <c r="B43" s="67" t="s">
        <v>44</v>
      </c>
      <c r="C43" s="37" t="s">
        <v>17</v>
      </c>
      <c r="D43" s="30">
        <f t="shared" ref="D43:J43" si="12">D44</f>
        <v>4.9000000000000004</v>
      </c>
      <c r="E43" s="30">
        <f t="shared" si="12"/>
        <v>10.1</v>
      </c>
      <c r="F43" s="30">
        <f t="shared" si="12"/>
        <v>10.6</v>
      </c>
      <c r="G43" s="30">
        <f t="shared" si="12"/>
        <v>5.1000000000000014</v>
      </c>
      <c r="H43" s="30">
        <f t="shared" si="12"/>
        <v>11.3</v>
      </c>
      <c r="I43" s="30">
        <f t="shared" si="12"/>
        <v>11.3</v>
      </c>
      <c r="J43" s="30">
        <f t="shared" si="12"/>
        <v>11.3</v>
      </c>
      <c r="K43" s="23">
        <f t="shared" si="11"/>
        <v>64.599999999999994</v>
      </c>
    </row>
    <row r="44" spans="1:11" s="39" customFormat="1" ht="24.95" customHeight="1">
      <c r="A44" s="56"/>
      <c r="B44" s="67"/>
      <c r="C44" s="22" t="s">
        <v>19</v>
      </c>
      <c r="D44" s="30">
        <f>8-3.1</f>
        <v>4.9000000000000004</v>
      </c>
      <c r="E44" s="30">
        <f>11.7-1.6</f>
        <v>10.1</v>
      </c>
      <c r="F44" s="30">
        <f>12.6-2</f>
        <v>10.6</v>
      </c>
      <c r="G44" s="30">
        <f>54.2-49.1</f>
        <v>5.1000000000000014</v>
      </c>
      <c r="H44" s="30">
        <v>11.3</v>
      </c>
      <c r="I44" s="30">
        <v>11.3</v>
      </c>
      <c r="J44" s="30">
        <v>11.3</v>
      </c>
      <c r="K44" s="23">
        <f t="shared" si="11"/>
        <v>64.599999999999994</v>
      </c>
    </row>
    <row r="45" spans="1:11" s="39" customFormat="1" ht="24.95" customHeight="1">
      <c r="A45" s="59" t="s">
        <v>45</v>
      </c>
      <c r="B45" s="65" t="s">
        <v>46</v>
      </c>
      <c r="C45" s="17" t="s">
        <v>17</v>
      </c>
      <c r="D45" s="30"/>
      <c r="E45" s="30">
        <f>SUM(E46:E47)</f>
        <v>606.20000000000005</v>
      </c>
      <c r="F45" s="30"/>
      <c r="G45" s="30"/>
      <c r="H45" s="30"/>
      <c r="I45" s="30"/>
      <c r="J45" s="30"/>
      <c r="K45" s="23">
        <f t="shared" si="11"/>
        <v>606.20000000000005</v>
      </c>
    </row>
    <row r="46" spans="1:11" s="39" customFormat="1" ht="30.4" customHeight="1">
      <c r="A46" s="59"/>
      <c r="B46" s="65"/>
      <c r="C46" s="22" t="s">
        <v>19</v>
      </c>
      <c r="D46" s="30"/>
      <c r="E46" s="30">
        <v>600</v>
      </c>
      <c r="F46" s="30"/>
      <c r="G46" s="30"/>
      <c r="H46" s="30"/>
      <c r="I46" s="30"/>
      <c r="J46" s="30"/>
      <c r="K46" s="23">
        <f t="shared" si="11"/>
        <v>600</v>
      </c>
    </row>
    <row r="47" spans="1:11" s="39" customFormat="1" ht="78" customHeight="1">
      <c r="A47" s="59"/>
      <c r="B47" s="65"/>
      <c r="C47" s="22" t="s">
        <v>20</v>
      </c>
      <c r="D47" s="30"/>
      <c r="E47" s="30">
        <v>6.2</v>
      </c>
      <c r="F47" s="30"/>
      <c r="G47" s="30"/>
      <c r="H47" s="30"/>
      <c r="I47" s="30"/>
      <c r="J47" s="30"/>
      <c r="K47" s="23">
        <f t="shared" si="11"/>
        <v>6.2</v>
      </c>
    </row>
    <row r="48" spans="1:11" s="39" customFormat="1" ht="200.85" customHeight="1">
      <c r="A48" s="59" t="s">
        <v>47</v>
      </c>
      <c r="B48" s="63" t="s">
        <v>48</v>
      </c>
      <c r="C48" s="17" t="s">
        <v>17</v>
      </c>
      <c r="D48" s="30"/>
      <c r="E48" s="30"/>
      <c r="F48" s="30">
        <f>SUM(F49:F50)</f>
        <v>303.10000000000002</v>
      </c>
      <c r="G48" s="30">
        <f>SUM(G49:G50)</f>
        <v>606.20000000000005</v>
      </c>
      <c r="H48" s="30">
        <f>SUM(H49:H50)</f>
        <v>0</v>
      </c>
      <c r="I48" s="30">
        <f>SUM(I49:I50)</f>
        <v>0</v>
      </c>
      <c r="J48" s="30">
        <f>SUM(J49:J50)</f>
        <v>0</v>
      </c>
      <c r="K48" s="23">
        <f t="shared" si="11"/>
        <v>909.30000000000007</v>
      </c>
    </row>
    <row r="49" spans="1:11" s="39" customFormat="1" ht="32.450000000000003" customHeight="1">
      <c r="A49" s="59"/>
      <c r="B49" s="63"/>
      <c r="C49" s="22" t="s">
        <v>19</v>
      </c>
      <c r="D49" s="30"/>
      <c r="E49" s="30"/>
      <c r="F49" s="30">
        <v>300</v>
      </c>
      <c r="G49" s="30">
        <v>600</v>
      </c>
      <c r="H49" s="30">
        <v>0</v>
      </c>
      <c r="I49" s="30">
        <v>0</v>
      </c>
      <c r="J49" s="30">
        <v>0</v>
      </c>
      <c r="K49" s="23">
        <f t="shared" si="11"/>
        <v>900</v>
      </c>
    </row>
    <row r="50" spans="1:11" s="39" customFormat="1" ht="117" customHeight="1">
      <c r="A50" s="59"/>
      <c r="B50" s="63"/>
      <c r="C50" s="22" t="s">
        <v>20</v>
      </c>
      <c r="D50" s="30"/>
      <c r="E50" s="30"/>
      <c r="F50" s="30">
        <v>3.1</v>
      </c>
      <c r="G50" s="30">
        <v>6.2</v>
      </c>
      <c r="H50" s="30">
        <v>0</v>
      </c>
      <c r="I50" s="30">
        <v>0</v>
      </c>
      <c r="J50" s="30">
        <v>0</v>
      </c>
      <c r="K50" s="23">
        <f t="shared" si="11"/>
        <v>9.3000000000000007</v>
      </c>
    </row>
    <row r="51" spans="1:11" s="39" customFormat="1" ht="34.9" customHeight="1">
      <c r="A51" s="56" t="s">
        <v>49</v>
      </c>
      <c r="B51" s="60" t="s">
        <v>50</v>
      </c>
      <c r="C51" s="37" t="s">
        <v>17</v>
      </c>
      <c r="D51" s="30">
        <v>0</v>
      </c>
      <c r="E51" s="30">
        <f>SUM(E52)</f>
        <v>40.5</v>
      </c>
      <c r="F51" s="30">
        <v>0</v>
      </c>
      <c r="G51" s="30">
        <v>0</v>
      </c>
      <c r="H51" s="30">
        <v>0</v>
      </c>
      <c r="I51" s="30">
        <v>0</v>
      </c>
      <c r="J51" s="30"/>
      <c r="K51" s="23">
        <f t="shared" si="11"/>
        <v>40.5</v>
      </c>
    </row>
    <row r="52" spans="1:11" s="39" customFormat="1" ht="50.25" customHeight="1">
      <c r="A52" s="56"/>
      <c r="B52" s="60"/>
      <c r="C52" s="40" t="s">
        <v>19</v>
      </c>
      <c r="D52" s="30">
        <v>0</v>
      </c>
      <c r="E52" s="30">
        <f>35.2+5.3</f>
        <v>40.5</v>
      </c>
      <c r="F52" s="30">
        <v>0</v>
      </c>
      <c r="G52" s="30">
        <v>0</v>
      </c>
      <c r="H52" s="30">
        <v>0</v>
      </c>
      <c r="I52" s="30">
        <v>0</v>
      </c>
      <c r="J52" s="30"/>
      <c r="K52" s="23">
        <f t="shared" si="11"/>
        <v>40.5</v>
      </c>
    </row>
    <row r="53" spans="1:11" s="39" customFormat="1" ht="22.9" customHeight="1">
      <c r="A53" s="56" t="s">
        <v>51</v>
      </c>
      <c r="B53" s="64" t="s">
        <v>52</v>
      </c>
      <c r="C53" s="17" t="s">
        <v>17</v>
      </c>
      <c r="D53" s="30"/>
      <c r="E53" s="30">
        <f t="shared" ref="E53:J53" si="13">SUM(E54:E56)</f>
        <v>245</v>
      </c>
      <c r="F53" s="23">
        <f t="shared" si="13"/>
        <v>775.15199999999993</v>
      </c>
      <c r="G53" s="23">
        <f t="shared" si="13"/>
        <v>762.5</v>
      </c>
      <c r="H53" s="23">
        <f t="shared" si="13"/>
        <v>765.00000000000011</v>
      </c>
      <c r="I53" s="23">
        <f t="shared" si="13"/>
        <v>776.69999999999993</v>
      </c>
      <c r="J53" s="23">
        <f t="shared" si="13"/>
        <v>790.80000000000007</v>
      </c>
      <c r="K53" s="23">
        <f t="shared" si="11"/>
        <v>4115.152</v>
      </c>
    </row>
    <row r="54" spans="1:11" s="39" customFormat="1" ht="22.9" customHeight="1">
      <c r="A54" s="56"/>
      <c r="B54" s="64"/>
      <c r="C54" s="22" t="s">
        <v>18</v>
      </c>
      <c r="D54" s="30"/>
      <c r="E54" s="30">
        <v>240.07</v>
      </c>
      <c r="F54" s="23">
        <v>759.69299999999998</v>
      </c>
      <c r="G54" s="23">
        <v>747.3</v>
      </c>
      <c r="H54" s="23">
        <v>749.65200000000004</v>
      </c>
      <c r="I54" s="23">
        <v>761.13199999999995</v>
      </c>
      <c r="J54" s="23">
        <v>767.07</v>
      </c>
      <c r="K54" s="23">
        <f t="shared" si="11"/>
        <v>4024.9170000000004</v>
      </c>
    </row>
    <row r="55" spans="1:11" s="39" customFormat="1" ht="21" customHeight="1">
      <c r="A55" s="56"/>
      <c r="B55" s="64"/>
      <c r="C55" s="22" t="s">
        <v>19</v>
      </c>
      <c r="D55" s="30"/>
      <c r="E55" s="30">
        <v>2.4300000000000002</v>
      </c>
      <c r="F55" s="23">
        <v>7.7069999999999999</v>
      </c>
      <c r="G55" s="23">
        <v>7.6</v>
      </c>
      <c r="H55" s="23">
        <v>7.6479999999999997</v>
      </c>
      <c r="I55" s="23">
        <v>7.7679999999999998</v>
      </c>
      <c r="J55" s="23">
        <v>15.73</v>
      </c>
      <c r="K55" s="23">
        <f t="shared" si="11"/>
        <v>48.882999999999996</v>
      </c>
    </row>
    <row r="56" spans="1:11" s="39" customFormat="1" ht="51.75" customHeight="1">
      <c r="A56" s="56"/>
      <c r="B56" s="64"/>
      <c r="C56" s="22" t="s">
        <v>20</v>
      </c>
      <c r="D56" s="30"/>
      <c r="E56" s="30">
        <v>2.5</v>
      </c>
      <c r="F56" s="23">
        <v>7.7519999999999998</v>
      </c>
      <c r="G56" s="23">
        <v>7.6</v>
      </c>
      <c r="H56" s="23">
        <v>7.7</v>
      </c>
      <c r="I56" s="23">
        <v>7.8</v>
      </c>
      <c r="J56" s="23">
        <v>8</v>
      </c>
      <c r="K56" s="23">
        <f t="shared" si="11"/>
        <v>41.351999999999997</v>
      </c>
    </row>
    <row r="57" spans="1:11" s="39" customFormat="1" ht="35.25" customHeight="1">
      <c r="A57" s="59" t="s">
        <v>53</v>
      </c>
      <c r="B57" s="63" t="s">
        <v>54</v>
      </c>
      <c r="C57" s="37" t="s">
        <v>17</v>
      </c>
      <c r="D57" s="30"/>
      <c r="E57" s="30"/>
      <c r="F57" s="23"/>
      <c r="G57" s="23">
        <f>G58</f>
        <v>119.80000000000001</v>
      </c>
      <c r="H57" s="23">
        <f>H58</f>
        <v>360</v>
      </c>
      <c r="I57" s="23">
        <f>I58</f>
        <v>360</v>
      </c>
      <c r="J57" s="23">
        <f>J58</f>
        <v>360</v>
      </c>
      <c r="K57" s="23">
        <f t="shared" si="11"/>
        <v>1199.8</v>
      </c>
    </row>
    <row r="58" spans="1:11" s="39" customFormat="1" ht="66.75" customHeight="1">
      <c r="A58" s="59"/>
      <c r="B58" s="63"/>
      <c r="C58" s="40" t="s">
        <v>18</v>
      </c>
      <c r="D58" s="30"/>
      <c r="E58" s="30"/>
      <c r="F58" s="23"/>
      <c r="G58" s="23">
        <f>149.9-30.1</f>
        <v>119.80000000000001</v>
      </c>
      <c r="H58" s="23">
        <v>360</v>
      </c>
      <c r="I58" s="23">
        <v>360</v>
      </c>
      <c r="J58" s="23">
        <v>360</v>
      </c>
      <c r="K58" s="23">
        <f t="shared" si="11"/>
        <v>1199.8</v>
      </c>
    </row>
    <row r="59" spans="1:11" s="39" customFormat="1" ht="22.9" customHeight="1">
      <c r="A59" s="59" t="s">
        <v>55</v>
      </c>
      <c r="B59" s="63" t="s">
        <v>56</v>
      </c>
      <c r="C59" s="17" t="s">
        <v>17</v>
      </c>
      <c r="D59" s="30"/>
      <c r="E59" s="30"/>
      <c r="F59" s="23">
        <f>F60</f>
        <v>43.599999999999994</v>
      </c>
      <c r="G59" s="23">
        <f>G60</f>
        <v>116.39999999999999</v>
      </c>
      <c r="H59" s="23">
        <f>H60</f>
        <v>116.4</v>
      </c>
      <c r="I59" s="23">
        <f>I60</f>
        <v>0</v>
      </c>
      <c r="J59" s="23">
        <f>J60</f>
        <v>0</v>
      </c>
      <c r="K59" s="23">
        <f t="shared" si="11"/>
        <v>276.39999999999998</v>
      </c>
    </row>
    <row r="60" spans="1:11" s="39" customFormat="1" ht="27.4" customHeight="1">
      <c r="A60" s="59"/>
      <c r="B60" s="63"/>
      <c r="C60" s="22" t="s">
        <v>19</v>
      </c>
      <c r="D60" s="30"/>
      <c r="E60" s="30"/>
      <c r="F60" s="23">
        <f>26.9+43.2-26.5</f>
        <v>43.599999999999994</v>
      </c>
      <c r="G60" s="23">
        <f>41.6+44.5+24.8+5.5</f>
        <v>116.39999999999999</v>
      </c>
      <c r="H60" s="23">
        <v>116.4</v>
      </c>
      <c r="I60" s="23">
        <v>0</v>
      </c>
      <c r="J60" s="23">
        <v>0</v>
      </c>
      <c r="K60" s="23">
        <f t="shared" si="11"/>
        <v>276.39999999999998</v>
      </c>
    </row>
    <row r="61" spans="1:11" s="39" customFormat="1" ht="69.400000000000006" customHeight="1">
      <c r="A61" s="59" t="s">
        <v>57</v>
      </c>
      <c r="B61" s="63" t="s">
        <v>58</v>
      </c>
      <c r="C61" s="17" t="s">
        <v>17</v>
      </c>
      <c r="D61" s="30"/>
      <c r="E61" s="30"/>
      <c r="F61" s="23"/>
      <c r="G61" s="23">
        <f>G62</f>
        <v>57.100000000000009</v>
      </c>
      <c r="H61" s="23">
        <f>H62</f>
        <v>123</v>
      </c>
      <c r="I61" s="23">
        <f>I62</f>
        <v>123</v>
      </c>
      <c r="J61" s="23">
        <f>J62</f>
        <v>123</v>
      </c>
      <c r="K61" s="23">
        <f t="shared" si="11"/>
        <v>426.1</v>
      </c>
    </row>
    <row r="62" spans="1:11" s="39" customFormat="1" ht="136.5" customHeight="1">
      <c r="A62" s="59"/>
      <c r="B62" s="63"/>
      <c r="C62" s="22" t="s">
        <v>19</v>
      </c>
      <c r="D62" s="30"/>
      <c r="E62" s="30"/>
      <c r="F62" s="23"/>
      <c r="G62" s="23">
        <f>177.3-120.2</f>
        <v>57.100000000000009</v>
      </c>
      <c r="H62" s="23">
        <v>123</v>
      </c>
      <c r="I62" s="23">
        <v>123</v>
      </c>
      <c r="J62" s="23">
        <v>123</v>
      </c>
      <c r="K62" s="23">
        <f t="shared" si="11"/>
        <v>426.1</v>
      </c>
    </row>
    <row r="63" spans="1:11" s="39" customFormat="1" ht="25.5" customHeight="1">
      <c r="A63" s="59" t="s">
        <v>59</v>
      </c>
      <c r="B63" s="62" t="s">
        <v>60</v>
      </c>
      <c r="C63" s="17" t="s">
        <v>17</v>
      </c>
      <c r="D63" s="23"/>
      <c r="E63" s="30"/>
      <c r="F63" s="30"/>
      <c r="G63" s="30"/>
      <c r="H63" s="30"/>
      <c r="I63" s="30"/>
      <c r="J63" s="30">
        <f>SUM(J64:J66)</f>
        <v>58744.1</v>
      </c>
      <c r="K63" s="23">
        <f t="shared" si="11"/>
        <v>58744.1</v>
      </c>
    </row>
    <row r="64" spans="1:11" s="39" customFormat="1" ht="28.7" customHeight="1">
      <c r="A64" s="59"/>
      <c r="B64" s="62"/>
      <c r="C64" s="22" t="s">
        <v>22</v>
      </c>
      <c r="D64" s="23"/>
      <c r="E64" s="30"/>
      <c r="F64" s="30"/>
      <c r="G64" s="30"/>
      <c r="H64" s="30"/>
      <c r="I64" s="30"/>
      <c r="J64" s="30">
        <v>52922.400000000001</v>
      </c>
      <c r="K64" s="23">
        <f t="shared" si="11"/>
        <v>52922.400000000001</v>
      </c>
    </row>
    <row r="65" spans="1:11" s="39" customFormat="1" ht="24.6" customHeight="1">
      <c r="A65" s="59"/>
      <c r="B65" s="62"/>
      <c r="C65" s="22" t="s">
        <v>19</v>
      </c>
      <c r="D65" s="23"/>
      <c r="E65" s="30"/>
      <c r="F65" s="30"/>
      <c r="G65" s="30"/>
      <c r="H65" s="30"/>
      <c r="I65" s="30"/>
      <c r="J65" s="30">
        <v>5234.2</v>
      </c>
      <c r="K65" s="23">
        <f t="shared" si="11"/>
        <v>5234.2</v>
      </c>
    </row>
    <row r="66" spans="1:11" s="39" customFormat="1" ht="36.200000000000003" customHeight="1">
      <c r="A66" s="59"/>
      <c r="B66" s="62"/>
      <c r="C66" s="22" t="s">
        <v>20</v>
      </c>
      <c r="D66" s="23"/>
      <c r="E66" s="30"/>
      <c r="F66" s="30"/>
      <c r="G66" s="30"/>
      <c r="H66" s="30"/>
      <c r="I66" s="30"/>
      <c r="J66" s="30">
        <v>587.5</v>
      </c>
      <c r="K66" s="23">
        <f t="shared" si="11"/>
        <v>587.5</v>
      </c>
    </row>
    <row r="67" spans="1:11" s="21" customFormat="1" ht="19.350000000000001" customHeight="1">
      <c r="A67" s="56" t="s">
        <v>61</v>
      </c>
      <c r="B67" s="57" t="s">
        <v>62</v>
      </c>
      <c r="C67" s="17" t="s">
        <v>17</v>
      </c>
      <c r="D67" s="18">
        <f t="shared" ref="D67:J67" si="14">SUM(D68:D70)</f>
        <v>15341.509999999998</v>
      </c>
      <c r="E67" s="18">
        <f t="shared" si="14"/>
        <v>15539.4</v>
      </c>
      <c r="F67" s="28">
        <f t="shared" si="14"/>
        <v>17665.2</v>
      </c>
      <c r="G67" s="28">
        <f t="shared" si="14"/>
        <v>18323.900000000001</v>
      </c>
      <c r="H67" s="28">
        <f t="shared" si="14"/>
        <v>19048</v>
      </c>
      <c r="I67" s="28">
        <f t="shared" si="14"/>
        <v>18729.599999999999</v>
      </c>
      <c r="J67" s="28">
        <f t="shared" si="14"/>
        <v>18827.599999999999</v>
      </c>
      <c r="K67" s="23">
        <f t="shared" si="11"/>
        <v>123475.21000000002</v>
      </c>
    </row>
    <row r="68" spans="1:11" s="21" customFormat="1" ht="23.45" customHeight="1">
      <c r="A68" s="56"/>
      <c r="B68" s="57"/>
      <c r="C68" s="22" t="s">
        <v>18</v>
      </c>
      <c r="D68" s="30"/>
      <c r="E68" s="30"/>
      <c r="F68" s="30"/>
      <c r="G68" s="30"/>
      <c r="H68" s="30"/>
      <c r="I68" s="30"/>
      <c r="J68" s="30"/>
      <c r="K68" s="23">
        <f t="shared" si="11"/>
        <v>0</v>
      </c>
    </row>
    <row r="69" spans="1:11" s="27" customFormat="1" ht="24.95" customHeight="1">
      <c r="A69" s="56"/>
      <c r="B69" s="57"/>
      <c r="C69" s="22" t="s">
        <v>19</v>
      </c>
      <c r="D69" s="30">
        <v>5825.7</v>
      </c>
      <c r="E69" s="30">
        <f>4000+67+918.1+338.5</f>
        <v>5323.6</v>
      </c>
      <c r="F69" s="30">
        <f>5000+1690.5+327.8+500</f>
        <v>7518.3</v>
      </c>
      <c r="G69" s="30">
        <f>10000+736.2+70.1+237.9+500</f>
        <v>11544.2</v>
      </c>
      <c r="H69" s="30">
        <v>10000</v>
      </c>
      <c r="I69" s="30">
        <v>10000</v>
      </c>
      <c r="J69" s="30">
        <v>10000</v>
      </c>
      <c r="K69" s="23">
        <f t="shared" si="11"/>
        <v>60211.8</v>
      </c>
    </row>
    <row r="70" spans="1:11" s="7" customFormat="1">
      <c r="A70" s="56"/>
      <c r="B70" s="57"/>
      <c r="C70" s="22" t="s">
        <v>20</v>
      </c>
      <c r="D70" s="23">
        <v>9515.81</v>
      </c>
      <c r="E70" s="23">
        <f>10370.3+30.1-41+117-270.7+10.1</f>
        <v>10215.799999999999</v>
      </c>
      <c r="F70" s="30">
        <f>10157+17.5+66.2-61.5-2.4-29.9</f>
        <v>10146.900000000001</v>
      </c>
      <c r="G70" s="30">
        <f>6372.1+34.6+107.8+19+109.4+140.6+6.3-10.1</f>
        <v>6779.7000000000007</v>
      </c>
      <c r="H70" s="30">
        <f>8687.6+330.4+30</f>
        <v>9048</v>
      </c>
      <c r="I70" s="30">
        <f>8554.5+175.1</f>
        <v>8729.6</v>
      </c>
      <c r="J70" s="30">
        <f>8554.5+273.1</f>
        <v>8827.6</v>
      </c>
      <c r="K70" s="23">
        <f t="shared" si="11"/>
        <v>63263.41</v>
      </c>
    </row>
    <row r="71" spans="1:11" s="7" customFormat="1" ht="32.65" customHeight="1">
      <c r="A71" s="56" t="s">
        <v>63</v>
      </c>
      <c r="B71" s="60" t="s">
        <v>64</v>
      </c>
      <c r="C71" s="22" t="s">
        <v>17</v>
      </c>
      <c r="D71" s="28">
        <f t="shared" ref="D71:J71" si="15">SUM(D72)</f>
        <v>570.9</v>
      </c>
      <c r="E71" s="28">
        <f t="shared" si="15"/>
        <v>610.20000000000005</v>
      </c>
      <c r="F71" s="28">
        <f t="shared" si="15"/>
        <v>670.40000000000009</v>
      </c>
      <c r="G71" s="28">
        <f t="shared" si="15"/>
        <v>389.89999999999992</v>
      </c>
      <c r="H71" s="28">
        <f t="shared" si="15"/>
        <v>0</v>
      </c>
      <c r="I71" s="28">
        <f t="shared" si="15"/>
        <v>0</v>
      </c>
      <c r="J71" s="28">
        <f t="shared" si="15"/>
        <v>0</v>
      </c>
      <c r="K71" s="23">
        <f t="shared" si="11"/>
        <v>2241.4</v>
      </c>
    </row>
    <row r="72" spans="1:11" s="7" customFormat="1" ht="30.4" customHeight="1">
      <c r="A72" s="56"/>
      <c r="B72" s="60"/>
      <c r="C72" s="22" t="s">
        <v>20</v>
      </c>
      <c r="D72" s="30">
        <v>570.9</v>
      </c>
      <c r="E72" s="30">
        <f>1184-390-183.8</f>
        <v>610.20000000000005</v>
      </c>
      <c r="F72" s="30">
        <f>1340.4-670</f>
        <v>670.40000000000009</v>
      </c>
      <c r="G72" s="30">
        <f>1397.3-999.2-8.2</f>
        <v>389.89999999999992</v>
      </c>
      <c r="H72" s="30">
        <v>0</v>
      </c>
      <c r="I72" s="30">
        <v>0</v>
      </c>
      <c r="J72" s="30">
        <v>0</v>
      </c>
      <c r="K72" s="23">
        <f t="shared" si="11"/>
        <v>2241.4</v>
      </c>
    </row>
    <row r="73" spans="1:11" s="7" customFormat="1" ht="34.9" customHeight="1">
      <c r="A73" s="56" t="s">
        <v>65</v>
      </c>
      <c r="B73" s="57" t="s">
        <v>66</v>
      </c>
      <c r="C73" s="17" t="s">
        <v>17</v>
      </c>
      <c r="D73" s="18">
        <f t="shared" ref="D73:I73" si="16">SUM(D74:D76)</f>
        <v>1128.9630000000002</v>
      </c>
      <c r="E73" s="18">
        <f t="shared" si="16"/>
        <v>0</v>
      </c>
      <c r="F73" s="28">
        <f t="shared" si="16"/>
        <v>0</v>
      </c>
      <c r="G73" s="28">
        <f t="shared" si="16"/>
        <v>0</v>
      </c>
      <c r="H73" s="28">
        <f t="shared" si="16"/>
        <v>0</v>
      </c>
      <c r="I73" s="28">
        <f t="shared" si="16"/>
        <v>0</v>
      </c>
      <c r="J73" s="28"/>
      <c r="K73" s="23">
        <f t="shared" si="11"/>
        <v>1128.9630000000002</v>
      </c>
    </row>
    <row r="74" spans="1:11" s="7" customFormat="1" ht="36.200000000000003" customHeight="1">
      <c r="A74" s="56"/>
      <c r="B74" s="57"/>
      <c r="C74" s="22" t="s">
        <v>18</v>
      </c>
      <c r="D74" s="30"/>
      <c r="E74" s="30"/>
      <c r="F74" s="30"/>
      <c r="G74" s="30"/>
      <c r="H74" s="30"/>
      <c r="I74" s="30"/>
      <c r="J74" s="30"/>
      <c r="K74" s="23">
        <f t="shared" ref="K74:K105" si="17">SUM(D74:J74)</f>
        <v>0</v>
      </c>
    </row>
    <row r="75" spans="1:11" s="7" customFormat="1" ht="37.35" customHeight="1">
      <c r="A75" s="56"/>
      <c r="B75" s="57"/>
      <c r="C75" s="22" t="s">
        <v>19</v>
      </c>
      <c r="D75" s="23">
        <v>730.86300000000006</v>
      </c>
      <c r="E75" s="30">
        <v>0</v>
      </c>
      <c r="F75" s="30">
        <v>0</v>
      </c>
      <c r="G75" s="30">
        <v>0</v>
      </c>
      <c r="H75" s="30">
        <v>0</v>
      </c>
      <c r="I75" s="30">
        <v>0</v>
      </c>
      <c r="J75" s="30"/>
      <c r="K75" s="23">
        <f t="shared" si="17"/>
        <v>730.86300000000006</v>
      </c>
    </row>
    <row r="76" spans="1:11" s="7" customFormat="1" ht="52.5" customHeight="1">
      <c r="A76" s="56"/>
      <c r="B76" s="57"/>
      <c r="C76" s="22" t="s">
        <v>20</v>
      </c>
      <c r="D76" s="23">
        <v>398.1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/>
      <c r="K76" s="23">
        <f t="shared" si="17"/>
        <v>398.1</v>
      </c>
    </row>
    <row r="77" spans="1:11" s="7" customFormat="1" ht="31.5" customHeight="1">
      <c r="A77" s="56" t="s">
        <v>67</v>
      </c>
      <c r="B77" s="60" t="s">
        <v>68</v>
      </c>
      <c r="C77" s="17" t="s">
        <v>17</v>
      </c>
      <c r="D77" s="23"/>
      <c r="E77" s="28">
        <f t="shared" ref="E77:J77" si="18">SUM(E78)</f>
        <v>500</v>
      </c>
      <c r="F77" s="28">
        <f t="shared" si="18"/>
        <v>750</v>
      </c>
      <c r="G77" s="28">
        <f t="shared" si="18"/>
        <v>0</v>
      </c>
      <c r="H77" s="28">
        <f t="shared" si="18"/>
        <v>0</v>
      </c>
      <c r="I77" s="28">
        <f t="shared" si="18"/>
        <v>0</v>
      </c>
      <c r="J77" s="28">
        <f t="shared" si="18"/>
        <v>0</v>
      </c>
      <c r="K77" s="23">
        <f t="shared" si="17"/>
        <v>1250</v>
      </c>
    </row>
    <row r="78" spans="1:11" s="7" customFormat="1" ht="20.100000000000001" customHeight="1">
      <c r="A78" s="56"/>
      <c r="B78" s="60"/>
      <c r="C78" s="22" t="s">
        <v>23</v>
      </c>
      <c r="D78" s="23"/>
      <c r="E78" s="30">
        <v>500</v>
      </c>
      <c r="F78" s="30">
        <v>750</v>
      </c>
      <c r="G78" s="30"/>
      <c r="H78" s="30"/>
      <c r="I78" s="30"/>
      <c r="J78" s="30"/>
      <c r="K78" s="23">
        <f t="shared" si="17"/>
        <v>1250</v>
      </c>
    </row>
    <row r="79" spans="1:11" s="7" customFormat="1" ht="20.100000000000001" customHeight="1">
      <c r="A79" s="59"/>
      <c r="B79" s="60" t="s">
        <v>69</v>
      </c>
      <c r="C79" s="17" t="s">
        <v>17</v>
      </c>
      <c r="D79" s="23"/>
      <c r="E79" s="30"/>
      <c r="F79" s="30"/>
      <c r="G79" s="28">
        <f>G80</f>
        <v>750</v>
      </c>
      <c r="H79" s="28">
        <f>H80</f>
        <v>0</v>
      </c>
      <c r="I79" s="28">
        <f>I80</f>
        <v>0</v>
      </c>
      <c r="J79" s="28">
        <f>J80</f>
        <v>0</v>
      </c>
      <c r="K79" s="23">
        <f t="shared" si="17"/>
        <v>750</v>
      </c>
    </row>
    <row r="80" spans="1:11" s="7" customFormat="1" ht="20.100000000000001" customHeight="1">
      <c r="A80" s="59"/>
      <c r="B80" s="60"/>
      <c r="C80" s="22" t="s">
        <v>23</v>
      </c>
      <c r="D80" s="23"/>
      <c r="E80" s="30"/>
      <c r="F80" s="30"/>
      <c r="G80" s="30">
        <v>750</v>
      </c>
      <c r="H80" s="30">
        <v>0</v>
      </c>
      <c r="I80" s="30">
        <v>0</v>
      </c>
      <c r="J80" s="30">
        <v>0</v>
      </c>
      <c r="K80" s="23">
        <f t="shared" si="17"/>
        <v>750</v>
      </c>
    </row>
    <row r="81" spans="1:11" s="7" customFormat="1" ht="54.6" customHeight="1">
      <c r="A81" s="59" t="s">
        <v>70</v>
      </c>
      <c r="B81" s="62" t="s">
        <v>71</v>
      </c>
      <c r="C81" s="17" t="s">
        <v>17</v>
      </c>
      <c r="D81" s="23"/>
      <c r="E81" s="30"/>
      <c r="F81" s="30">
        <f>SUM(F82:F83)</f>
        <v>4214.2000000000007</v>
      </c>
      <c r="G81" s="30"/>
      <c r="H81" s="30">
        <f>SUM(H82:H83)</f>
        <v>0</v>
      </c>
      <c r="I81" s="30">
        <f>SUM(I82:I83)</f>
        <v>0</v>
      </c>
      <c r="J81" s="30"/>
      <c r="K81" s="23">
        <f t="shared" si="17"/>
        <v>4214.2000000000007</v>
      </c>
    </row>
    <row r="82" spans="1:11" s="7" customFormat="1" ht="30.2" customHeight="1">
      <c r="A82" s="59"/>
      <c r="B82" s="62"/>
      <c r="C82" s="22" t="s">
        <v>19</v>
      </c>
      <c r="D82" s="23"/>
      <c r="E82" s="30"/>
      <c r="F82" s="30">
        <v>4171.6000000000004</v>
      </c>
      <c r="G82" s="30"/>
      <c r="H82" s="30"/>
      <c r="I82" s="30"/>
      <c r="J82" s="30"/>
      <c r="K82" s="23">
        <f t="shared" si="17"/>
        <v>4171.6000000000004</v>
      </c>
    </row>
    <row r="83" spans="1:11" s="7" customFormat="1" ht="71.25" customHeight="1">
      <c r="A83" s="59"/>
      <c r="B83" s="62"/>
      <c r="C83" s="22" t="s">
        <v>20</v>
      </c>
      <c r="D83" s="23"/>
      <c r="E83" s="30"/>
      <c r="F83" s="30">
        <f>42.4+0.2</f>
        <v>42.6</v>
      </c>
      <c r="G83" s="30"/>
      <c r="H83" s="30"/>
      <c r="I83" s="30"/>
      <c r="J83" s="30"/>
      <c r="K83" s="23">
        <f t="shared" si="17"/>
        <v>42.6</v>
      </c>
    </row>
    <row r="84" spans="1:11" s="7" customFormat="1" ht="23.65" customHeight="1">
      <c r="A84" s="59"/>
      <c r="B84" s="62" t="s">
        <v>72</v>
      </c>
      <c r="C84" s="17" t="s">
        <v>17</v>
      </c>
      <c r="D84" s="23"/>
      <c r="E84" s="30"/>
      <c r="F84" s="30"/>
      <c r="G84" s="30">
        <f>SUM(G85:G86)</f>
        <v>3826.1</v>
      </c>
      <c r="H84" s="30">
        <f>SUM(H85:H86)</f>
        <v>0</v>
      </c>
      <c r="I84" s="30">
        <f>SUM(I85:I86)</f>
        <v>0</v>
      </c>
      <c r="J84" s="30"/>
      <c r="K84" s="23">
        <f t="shared" si="17"/>
        <v>3826.1</v>
      </c>
    </row>
    <row r="85" spans="1:11" s="7" customFormat="1" ht="26.1" customHeight="1">
      <c r="A85" s="59"/>
      <c r="B85" s="62"/>
      <c r="C85" s="22" t="s">
        <v>19</v>
      </c>
      <c r="D85" s="23"/>
      <c r="E85" s="30"/>
      <c r="F85" s="30"/>
      <c r="G85" s="30">
        <v>3787.7</v>
      </c>
      <c r="H85" s="30"/>
      <c r="I85" s="30"/>
      <c r="J85" s="30"/>
      <c r="K85" s="23">
        <f t="shared" si="17"/>
        <v>3787.7</v>
      </c>
    </row>
    <row r="86" spans="1:11" s="7" customFormat="1" ht="51" customHeight="1">
      <c r="A86" s="59"/>
      <c r="B86" s="62"/>
      <c r="C86" s="22" t="s">
        <v>20</v>
      </c>
      <c r="D86" s="23"/>
      <c r="E86" s="30"/>
      <c r="F86" s="30"/>
      <c r="G86" s="30">
        <v>38.4</v>
      </c>
      <c r="H86" s="30"/>
      <c r="I86" s="30"/>
      <c r="J86" s="30"/>
      <c r="K86" s="23">
        <f t="shared" si="17"/>
        <v>38.4</v>
      </c>
    </row>
    <row r="87" spans="1:11" s="21" customFormat="1" ht="27.75" customHeight="1">
      <c r="A87" s="56" t="s">
        <v>73</v>
      </c>
      <c r="B87" s="57" t="s">
        <v>74</v>
      </c>
      <c r="C87" s="17" t="s">
        <v>17</v>
      </c>
      <c r="D87" s="28">
        <f t="shared" ref="D87:J87" si="19">SUM(D88:D90)</f>
        <v>9321</v>
      </c>
      <c r="E87" s="28">
        <f t="shared" si="19"/>
        <v>10259</v>
      </c>
      <c r="F87" s="28">
        <f t="shared" si="19"/>
        <v>10462</v>
      </c>
      <c r="G87" s="28">
        <f t="shared" si="19"/>
        <v>10830</v>
      </c>
      <c r="H87" s="28">
        <f t="shared" si="19"/>
        <v>11672</v>
      </c>
      <c r="I87" s="28">
        <f t="shared" si="19"/>
        <v>12357</v>
      </c>
      <c r="J87" s="28">
        <f t="shared" si="19"/>
        <v>12936</v>
      </c>
      <c r="K87" s="23">
        <f t="shared" si="17"/>
        <v>77837</v>
      </c>
    </row>
    <row r="88" spans="1:11" s="21" customFormat="1">
      <c r="A88" s="56"/>
      <c r="B88" s="57"/>
      <c r="C88" s="22" t="s">
        <v>22</v>
      </c>
      <c r="D88" s="30"/>
      <c r="E88" s="30"/>
      <c r="F88" s="30"/>
      <c r="G88" s="30"/>
      <c r="H88" s="30"/>
      <c r="I88" s="30"/>
      <c r="J88" s="30"/>
      <c r="K88" s="23">
        <f t="shared" si="17"/>
        <v>0</v>
      </c>
    </row>
    <row r="89" spans="1:11" s="21" customFormat="1">
      <c r="A89" s="56"/>
      <c r="B89" s="57"/>
      <c r="C89" s="22" t="s">
        <v>19</v>
      </c>
      <c r="D89" s="30">
        <v>9286</v>
      </c>
      <c r="E89" s="30">
        <f>10009+76+134</f>
        <v>10219</v>
      </c>
      <c r="F89" s="30">
        <v>10412</v>
      </c>
      <c r="G89" s="30">
        <v>10765</v>
      </c>
      <c r="H89" s="30">
        <v>11622</v>
      </c>
      <c r="I89" s="30">
        <v>12307</v>
      </c>
      <c r="J89" s="30">
        <v>12886</v>
      </c>
      <c r="K89" s="23">
        <f t="shared" si="17"/>
        <v>77497</v>
      </c>
    </row>
    <row r="90" spans="1:11" s="27" customFormat="1">
      <c r="A90" s="56"/>
      <c r="B90" s="57"/>
      <c r="C90" s="22" t="s">
        <v>20</v>
      </c>
      <c r="D90" s="30">
        <v>35</v>
      </c>
      <c r="E90" s="30">
        <v>40</v>
      </c>
      <c r="F90" s="30">
        <v>50</v>
      </c>
      <c r="G90" s="30">
        <f>50+15</f>
        <v>65</v>
      </c>
      <c r="H90" s="30">
        <v>50</v>
      </c>
      <c r="I90" s="30">
        <v>50</v>
      </c>
      <c r="J90" s="30">
        <v>50</v>
      </c>
      <c r="K90" s="23">
        <f t="shared" si="17"/>
        <v>340</v>
      </c>
    </row>
    <row r="91" spans="1:11" s="21" customFormat="1" ht="25.35" customHeight="1">
      <c r="A91" s="56" t="s">
        <v>75</v>
      </c>
      <c r="B91" s="61" t="s">
        <v>76</v>
      </c>
      <c r="C91" s="17" t="s">
        <v>17</v>
      </c>
      <c r="D91" s="46">
        <f t="shared" ref="D91:J91" si="20">SUM(D92:D92)</f>
        <v>9286</v>
      </c>
      <c r="E91" s="46">
        <f t="shared" si="20"/>
        <v>10219</v>
      </c>
      <c r="F91" s="28">
        <f t="shared" si="20"/>
        <v>10412</v>
      </c>
      <c r="G91" s="28">
        <f t="shared" si="20"/>
        <v>10765</v>
      </c>
      <c r="H91" s="28">
        <f t="shared" si="20"/>
        <v>11622</v>
      </c>
      <c r="I91" s="28">
        <f t="shared" si="20"/>
        <v>12307</v>
      </c>
      <c r="J91" s="28">
        <f t="shared" si="20"/>
        <v>12886</v>
      </c>
      <c r="K91" s="23">
        <f t="shared" si="17"/>
        <v>77497</v>
      </c>
    </row>
    <row r="92" spans="1:11" s="27" customFormat="1" ht="41.25" customHeight="1">
      <c r="A92" s="56"/>
      <c r="B92" s="61"/>
      <c r="C92" s="22" t="s">
        <v>19</v>
      </c>
      <c r="D92" s="30">
        <v>9286</v>
      </c>
      <c r="E92" s="30">
        <f>10009+76+134</f>
        <v>10219</v>
      </c>
      <c r="F92" s="30">
        <v>10412</v>
      </c>
      <c r="G92" s="30">
        <v>10765</v>
      </c>
      <c r="H92" s="30">
        <v>11622</v>
      </c>
      <c r="I92" s="30">
        <v>12307</v>
      </c>
      <c r="J92" s="30">
        <v>12886</v>
      </c>
      <c r="K92" s="23">
        <f t="shared" si="17"/>
        <v>77497</v>
      </c>
    </row>
    <row r="93" spans="1:11" s="21" customFormat="1" ht="19.350000000000001" customHeight="1">
      <c r="A93" s="56" t="s">
        <v>77</v>
      </c>
      <c r="B93" s="57" t="s">
        <v>78</v>
      </c>
      <c r="C93" s="17" t="s">
        <v>17</v>
      </c>
      <c r="D93" s="18">
        <f t="shared" ref="D93:J93" si="21">SUM(D94:D96)</f>
        <v>512.72399999999993</v>
      </c>
      <c r="E93" s="18">
        <f t="shared" si="21"/>
        <v>584.50399999999991</v>
      </c>
      <c r="F93" s="28">
        <f t="shared" si="21"/>
        <v>686.48</v>
      </c>
      <c r="G93" s="28">
        <f t="shared" si="21"/>
        <v>632.9899999999999</v>
      </c>
      <c r="H93" s="28">
        <f t="shared" si="21"/>
        <v>0</v>
      </c>
      <c r="I93" s="28">
        <f t="shared" si="21"/>
        <v>0</v>
      </c>
      <c r="J93" s="28">
        <f t="shared" si="21"/>
        <v>0</v>
      </c>
      <c r="K93" s="23">
        <f t="shared" si="17"/>
        <v>2416.6979999999999</v>
      </c>
    </row>
    <row r="94" spans="1:11" s="21" customFormat="1" ht="22.7" customHeight="1">
      <c r="A94" s="56"/>
      <c r="B94" s="57"/>
      <c r="C94" s="22" t="s">
        <v>18</v>
      </c>
      <c r="D94" s="30"/>
      <c r="E94" s="30"/>
      <c r="F94" s="30"/>
      <c r="G94" s="30"/>
      <c r="H94" s="30"/>
      <c r="I94" s="30"/>
      <c r="J94" s="30"/>
      <c r="K94" s="23">
        <f t="shared" si="17"/>
        <v>0</v>
      </c>
    </row>
    <row r="95" spans="1:11" s="27" customFormat="1" ht="25.35" customHeight="1">
      <c r="A95" s="56"/>
      <c r="B95" s="57"/>
      <c r="C95" s="22" t="s">
        <v>19</v>
      </c>
      <c r="D95" s="30">
        <v>329.4</v>
      </c>
      <c r="E95" s="30">
        <v>346.9</v>
      </c>
      <c r="F95" s="30">
        <v>392.38</v>
      </c>
      <c r="G95" s="25">
        <f>396.64+125.17+0.01</f>
        <v>521.81999999999994</v>
      </c>
      <c r="H95" s="30"/>
      <c r="I95" s="30"/>
      <c r="J95" s="30"/>
      <c r="K95" s="23">
        <f t="shared" si="17"/>
        <v>1590.4999999999998</v>
      </c>
    </row>
    <row r="96" spans="1:11" s="27" customFormat="1" ht="53.25" customHeight="1">
      <c r="A96" s="56"/>
      <c r="B96" s="57"/>
      <c r="C96" s="22" t="s">
        <v>20</v>
      </c>
      <c r="D96" s="23">
        <v>183.32400000000001</v>
      </c>
      <c r="E96" s="23">
        <f>169.1+45.604+41-16.3-1.8</f>
        <v>237.60399999999998</v>
      </c>
      <c r="F96" s="30">
        <v>294.10000000000002</v>
      </c>
      <c r="G96" s="30">
        <f>209.5+1.17-152.8+53.3</f>
        <v>111.16999999999997</v>
      </c>
      <c r="H96" s="30"/>
      <c r="I96" s="30"/>
      <c r="J96" s="30"/>
      <c r="K96" s="23">
        <f t="shared" si="17"/>
        <v>826.19799999999998</v>
      </c>
    </row>
    <row r="97" spans="1:11" s="27" customFormat="1" ht="17.45" customHeight="1">
      <c r="A97" s="59"/>
      <c r="B97" s="57" t="s">
        <v>79</v>
      </c>
      <c r="C97" s="17" t="s">
        <v>17</v>
      </c>
      <c r="D97" s="18">
        <f t="shared" ref="D97:J97" si="22">SUM(D98:D100)</f>
        <v>0</v>
      </c>
      <c r="E97" s="18">
        <f t="shared" si="22"/>
        <v>0</v>
      </c>
      <c r="F97" s="28">
        <f t="shared" si="22"/>
        <v>0</v>
      </c>
      <c r="G97" s="28">
        <f t="shared" si="22"/>
        <v>0</v>
      </c>
      <c r="H97" s="28">
        <f t="shared" si="22"/>
        <v>643.29999999999995</v>
      </c>
      <c r="I97" s="28">
        <f t="shared" si="22"/>
        <v>643.29999999999995</v>
      </c>
      <c r="J97" s="28">
        <f t="shared" si="22"/>
        <v>643.29999999999995</v>
      </c>
      <c r="K97" s="23">
        <f t="shared" si="17"/>
        <v>1929.8999999999999</v>
      </c>
    </row>
    <row r="98" spans="1:11" s="27" customFormat="1">
      <c r="A98" s="59"/>
      <c r="B98" s="57"/>
      <c r="C98" s="22" t="s">
        <v>18</v>
      </c>
      <c r="D98" s="30"/>
      <c r="E98" s="30"/>
      <c r="F98" s="30"/>
      <c r="G98" s="30"/>
      <c r="H98" s="30"/>
      <c r="I98" s="30"/>
      <c r="J98" s="30"/>
      <c r="K98" s="23">
        <f t="shared" si="17"/>
        <v>0</v>
      </c>
    </row>
    <row r="99" spans="1:11" s="27" customFormat="1" ht="30" customHeight="1">
      <c r="A99" s="59"/>
      <c r="B99" s="57"/>
      <c r="C99" s="22" t="s">
        <v>19</v>
      </c>
      <c r="D99" s="30"/>
      <c r="E99" s="30"/>
      <c r="F99" s="30"/>
      <c r="G99" s="25"/>
      <c r="H99" s="30">
        <v>532</v>
      </c>
      <c r="I99" s="30">
        <v>532</v>
      </c>
      <c r="J99" s="30">
        <v>532</v>
      </c>
      <c r="K99" s="23">
        <f t="shared" si="17"/>
        <v>1596</v>
      </c>
    </row>
    <row r="100" spans="1:11" s="27" customFormat="1" ht="66.75" customHeight="1">
      <c r="A100" s="59"/>
      <c r="B100" s="57"/>
      <c r="C100" s="22" t="s">
        <v>20</v>
      </c>
      <c r="D100" s="23"/>
      <c r="E100" s="23"/>
      <c r="F100" s="30"/>
      <c r="G100" s="30"/>
      <c r="H100" s="30">
        <v>111.3</v>
      </c>
      <c r="I100" s="30">
        <v>111.3</v>
      </c>
      <c r="J100" s="30">
        <v>111.3</v>
      </c>
      <c r="K100" s="23">
        <f t="shared" si="17"/>
        <v>333.9</v>
      </c>
    </row>
    <row r="101" spans="1:11" s="21" customFormat="1" ht="20.25" customHeight="1">
      <c r="A101" s="56" t="s">
        <v>80</v>
      </c>
      <c r="B101" s="57" t="s">
        <v>81</v>
      </c>
      <c r="C101" s="17" t="s">
        <v>17</v>
      </c>
      <c r="D101" s="28">
        <f t="shared" ref="D101:J101" si="23">SUM(D102:D104)</f>
        <v>105.2</v>
      </c>
      <c r="E101" s="28">
        <f t="shared" si="23"/>
        <v>118.4</v>
      </c>
      <c r="F101" s="28">
        <f t="shared" si="23"/>
        <v>142.5</v>
      </c>
      <c r="G101" s="28">
        <f t="shared" si="23"/>
        <v>153.80000000000001</v>
      </c>
      <c r="H101" s="28">
        <f t="shared" si="23"/>
        <v>126.4</v>
      </c>
      <c r="I101" s="28">
        <f t="shared" si="23"/>
        <v>126.4</v>
      </c>
      <c r="J101" s="28">
        <f t="shared" si="23"/>
        <v>126.4</v>
      </c>
      <c r="K101" s="23">
        <f t="shared" si="17"/>
        <v>899.1</v>
      </c>
    </row>
    <row r="102" spans="1:11" s="21" customFormat="1">
      <c r="A102" s="56"/>
      <c r="B102" s="57"/>
      <c r="C102" s="22" t="s">
        <v>18</v>
      </c>
      <c r="D102" s="30"/>
      <c r="E102" s="30"/>
      <c r="F102" s="30"/>
      <c r="G102" s="30"/>
      <c r="H102" s="30"/>
      <c r="I102" s="30"/>
      <c r="J102" s="30"/>
      <c r="K102" s="23">
        <f t="shared" si="17"/>
        <v>0</v>
      </c>
    </row>
    <row r="103" spans="1:11" s="21" customFormat="1">
      <c r="A103" s="56"/>
      <c r="B103" s="57"/>
      <c r="C103" s="22" t="s">
        <v>19</v>
      </c>
      <c r="D103" s="30"/>
      <c r="E103" s="30"/>
      <c r="F103" s="30"/>
      <c r="G103" s="30"/>
      <c r="H103" s="30"/>
      <c r="I103" s="30"/>
      <c r="J103" s="30"/>
      <c r="K103" s="23">
        <f t="shared" si="17"/>
        <v>0</v>
      </c>
    </row>
    <row r="104" spans="1:11" s="27" customFormat="1" ht="35.450000000000003" customHeight="1">
      <c r="A104" s="56"/>
      <c r="B104" s="57"/>
      <c r="C104" s="22" t="s">
        <v>20</v>
      </c>
      <c r="D104" s="30">
        <v>105.2</v>
      </c>
      <c r="E104" s="30">
        <f>115.4+18.5-12.1-3.4</f>
        <v>118.4</v>
      </c>
      <c r="F104" s="30">
        <f>173.9-61.3+29.9</f>
        <v>142.5</v>
      </c>
      <c r="G104" s="30">
        <f>135.4+18.4</f>
        <v>153.80000000000001</v>
      </c>
      <c r="H104" s="30">
        <v>126.4</v>
      </c>
      <c r="I104" s="30">
        <v>126.4</v>
      </c>
      <c r="J104" s="30">
        <v>126.4</v>
      </c>
      <c r="K104" s="23">
        <f t="shared" si="17"/>
        <v>899.1</v>
      </c>
    </row>
    <row r="105" spans="1:11" s="27" customFormat="1" ht="22.9" customHeight="1">
      <c r="A105" s="59" t="s">
        <v>82</v>
      </c>
      <c r="B105" s="60" t="s">
        <v>69</v>
      </c>
      <c r="C105" s="17" t="s">
        <v>17</v>
      </c>
      <c r="D105" s="30"/>
      <c r="E105" s="30"/>
      <c r="F105" s="30"/>
      <c r="G105" s="30"/>
      <c r="H105" s="30">
        <f>H106</f>
        <v>800</v>
      </c>
      <c r="I105" s="30">
        <f>I106</f>
        <v>800</v>
      </c>
      <c r="J105" s="30">
        <f>J106</f>
        <v>800</v>
      </c>
      <c r="K105" s="23">
        <f t="shared" si="17"/>
        <v>2400</v>
      </c>
    </row>
    <row r="106" spans="1:11" s="27" customFormat="1" ht="30" customHeight="1">
      <c r="A106" s="59"/>
      <c r="B106" s="60"/>
      <c r="C106" s="22" t="s">
        <v>23</v>
      </c>
      <c r="D106" s="30"/>
      <c r="E106" s="30"/>
      <c r="F106" s="30"/>
      <c r="G106" s="30"/>
      <c r="H106" s="30">
        <v>800</v>
      </c>
      <c r="I106" s="30">
        <v>800</v>
      </c>
      <c r="J106" s="30">
        <v>800</v>
      </c>
      <c r="K106" s="23">
        <f t="shared" ref="K106:K116" si="24">SUM(D106:J106)</f>
        <v>2400</v>
      </c>
    </row>
    <row r="107" spans="1:11" s="21" customFormat="1" ht="26.25" customHeight="1">
      <c r="A107" s="56" t="s">
        <v>83</v>
      </c>
      <c r="B107" s="57" t="s">
        <v>84</v>
      </c>
      <c r="C107" s="17" t="s">
        <v>17</v>
      </c>
      <c r="D107" s="18">
        <f t="shared" ref="D107:J107" si="25">SUM(D108:D110)</f>
        <v>10935.29</v>
      </c>
      <c r="E107" s="28">
        <f t="shared" si="25"/>
        <v>11808.13</v>
      </c>
      <c r="F107" s="28">
        <f t="shared" si="25"/>
        <v>13616.9</v>
      </c>
      <c r="G107" s="28">
        <f t="shared" si="25"/>
        <v>14443.099999999999</v>
      </c>
      <c r="H107" s="28">
        <f t="shared" si="25"/>
        <v>14720.3</v>
      </c>
      <c r="I107" s="28">
        <f t="shared" si="25"/>
        <v>14715.8</v>
      </c>
      <c r="J107" s="28">
        <f t="shared" si="25"/>
        <v>14715.8</v>
      </c>
      <c r="K107" s="23">
        <f t="shared" si="24"/>
        <v>94955.32</v>
      </c>
    </row>
    <row r="108" spans="1:11" s="21" customFormat="1">
      <c r="A108" s="56"/>
      <c r="B108" s="57"/>
      <c r="C108" s="22" t="s">
        <v>22</v>
      </c>
      <c r="D108" s="30"/>
      <c r="E108" s="30"/>
      <c r="F108" s="30"/>
      <c r="G108" s="30"/>
      <c r="H108" s="30"/>
      <c r="I108" s="30"/>
      <c r="J108" s="30"/>
      <c r="K108" s="23">
        <f t="shared" si="24"/>
        <v>0</v>
      </c>
    </row>
    <row r="109" spans="1:11" s="21" customFormat="1">
      <c r="A109" s="56"/>
      <c r="B109" s="57"/>
      <c r="C109" s="22" t="s">
        <v>19</v>
      </c>
      <c r="D109" s="30"/>
      <c r="E109" s="30"/>
      <c r="F109" s="30"/>
      <c r="G109" s="30"/>
      <c r="H109" s="30"/>
      <c r="I109" s="30"/>
      <c r="J109" s="30"/>
      <c r="K109" s="23">
        <f t="shared" si="24"/>
        <v>0</v>
      </c>
    </row>
    <row r="110" spans="1:11" s="27" customFormat="1">
      <c r="A110" s="56"/>
      <c r="B110" s="57"/>
      <c r="C110" s="22" t="s">
        <v>20</v>
      </c>
      <c r="D110" s="36">
        <f>10938.314-3.024</f>
        <v>10935.29</v>
      </c>
      <c r="E110" s="55">
        <f t="shared" ref="E110:J110" si="26">SUM(E114+E116)</f>
        <v>11808.13</v>
      </c>
      <c r="F110" s="30">
        <f t="shared" si="26"/>
        <v>13616.9</v>
      </c>
      <c r="G110" s="30">
        <f t="shared" si="26"/>
        <v>14443.099999999999</v>
      </c>
      <c r="H110" s="30">
        <f t="shared" si="26"/>
        <v>14720.3</v>
      </c>
      <c r="I110" s="30">
        <f t="shared" si="26"/>
        <v>14715.8</v>
      </c>
      <c r="J110" s="30">
        <f t="shared" si="26"/>
        <v>14715.8</v>
      </c>
      <c r="K110" s="23">
        <f t="shared" si="24"/>
        <v>94955.32</v>
      </c>
    </row>
    <row r="111" spans="1:11" s="27" customFormat="1" ht="19.350000000000001" customHeight="1">
      <c r="A111" s="56" t="s">
        <v>85</v>
      </c>
      <c r="B111" s="57" t="s">
        <v>86</v>
      </c>
      <c r="C111" s="17" t="s">
        <v>17</v>
      </c>
      <c r="D111" s="18">
        <f t="shared" ref="D111:J111" si="27">SUM(D112:D114)</f>
        <v>1032.19</v>
      </c>
      <c r="E111" s="20">
        <f t="shared" si="27"/>
        <v>1277.2300000000002</v>
      </c>
      <c r="F111" s="28">
        <f t="shared" si="27"/>
        <v>1523.6</v>
      </c>
      <c r="G111" s="28">
        <f t="shared" si="27"/>
        <v>1669.8000000000002</v>
      </c>
      <c r="H111" s="28">
        <f t="shared" si="27"/>
        <v>1363</v>
      </c>
      <c r="I111" s="28">
        <f t="shared" si="27"/>
        <v>1358.5</v>
      </c>
      <c r="J111" s="28">
        <f t="shared" si="27"/>
        <v>1358.5</v>
      </c>
      <c r="K111" s="23">
        <f t="shared" si="24"/>
        <v>9582.82</v>
      </c>
    </row>
    <row r="112" spans="1:11" s="27" customFormat="1">
      <c r="A112" s="56"/>
      <c r="B112" s="57"/>
      <c r="C112" s="22" t="s">
        <v>22</v>
      </c>
      <c r="D112" s="23"/>
      <c r="E112" s="30"/>
      <c r="F112" s="30"/>
      <c r="G112" s="30"/>
      <c r="H112" s="30"/>
      <c r="I112" s="30"/>
      <c r="J112" s="30"/>
      <c r="K112" s="23">
        <f t="shared" si="24"/>
        <v>0</v>
      </c>
    </row>
    <row r="113" spans="1:11" s="27" customFormat="1">
      <c r="A113" s="56"/>
      <c r="B113" s="57"/>
      <c r="C113" s="22" t="s">
        <v>19</v>
      </c>
      <c r="D113" s="23"/>
      <c r="E113" s="30"/>
      <c r="F113" s="30"/>
      <c r="G113" s="30"/>
      <c r="H113" s="30"/>
      <c r="I113" s="30"/>
      <c r="J113" s="30"/>
      <c r="K113" s="23">
        <f t="shared" si="24"/>
        <v>0</v>
      </c>
    </row>
    <row r="114" spans="1:11" s="27" customFormat="1">
      <c r="A114" s="56"/>
      <c r="B114" s="57"/>
      <c r="C114" s="22" t="s">
        <v>20</v>
      </c>
      <c r="D114" s="23">
        <f>1024.49+10.724-3.024</f>
        <v>1032.19</v>
      </c>
      <c r="E114" s="25">
        <f>1066.8+35.9+44-0.62+27.15+104</f>
        <v>1277.2300000000002</v>
      </c>
      <c r="F114" s="30">
        <v>1523.6</v>
      </c>
      <c r="G114" s="30">
        <f>1350+65.4+170+84.4</f>
        <v>1669.8000000000002</v>
      </c>
      <c r="H114" s="30">
        <f>1358.5+4.5</f>
        <v>1363</v>
      </c>
      <c r="I114" s="30">
        <v>1358.5</v>
      </c>
      <c r="J114" s="30">
        <v>1358.5</v>
      </c>
      <c r="K114" s="23">
        <f t="shared" si="24"/>
        <v>9582.82</v>
      </c>
    </row>
    <row r="115" spans="1:11" s="27" customFormat="1" ht="39.75" customHeight="1">
      <c r="A115" s="34" t="s">
        <v>87</v>
      </c>
      <c r="B115" s="44" t="s">
        <v>88</v>
      </c>
      <c r="C115" s="17" t="s">
        <v>17</v>
      </c>
      <c r="D115" s="28">
        <f t="shared" ref="D115:J115" si="28">SUM(D116)</f>
        <v>9903.1</v>
      </c>
      <c r="E115" s="28">
        <f t="shared" si="28"/>
        <v>10530.9</v>
      </c>
      <c r="F115" s="28">
        <f t="shared" si="28"/>
        <v>12093.3</v>
      </c>
      <c r="G115" s="28">
        <f t="shared" si="28"/>
        <v>12773.3</v>
      </c>
      <c r="H115" s="28">
        <f t="shared" si="28"/>
        <v>13357.3</v>
      </c>
      <c r="I115" s="28">
        <f t="shared" si="28"/>
        <v>13357.3</v>
      </c>
      <c r="J115" s="28">
        <f t="shared" si="28"/>
        <v>13357.3</v>
      </c>
      <c r="K115" s="23">
        <f t="shared" si="24"/>
        <v>85372.5</v>
      </c>
    </row>
    <row r="116" spans="1:11" s="27" customFormat="1" ht="22.9" customHeight="1">
      <c r="A116" s="34"/>
      <c r="B116" s="44"/>
      <c r="C116" s="22" t="s">
        <v>20</v>
      </c>
      <c r="D116" s="30">
        <v>9903.1</v>
      </c>
      <c r="E116" s="30">
        <f>10195.6+53+255.4+26.9</f>
        <v>10530.9</v>
      </c>
      <c r="F116" s="30">
        <f>11225.8+530.3+70+205.7+61.5</f>
        <v>12093.3</v>
      </c>
      <c r="G116" s="30">
        <f>12260.2+58+13.8+365-2.5+78.8</f>
        <v>12773.3</v>
      </c>
      <c r="H116" s="30">
        <v>13357.3</v>
      </c>
      <c r="I116" s="30">
        <v>13357.3</v>
      </c>
      <c r="J116" s="30">
        <v>13357.3</v>
      </c>
      <c r="K116" s="23">
        <f t="shared" si="24"/>
        <v>85372.5</v>
      </c>
    </row>
    <row r="120" spans="1:11" ht="18.75" customHeight="1">
      <c r="A120" s="58" t="s">
        <v>89</v>
      </c>
      <c r="B120" s="58"/>
      <c r="C120" s="58"/>
      <c r="D120" s="58"/>
      <c r="E120" s="58"/>
      <c r="F120" s="58"/>
      <c r="G120" s="58"/>
      <c r="H120" s="58"/>
      <c r="I120" s="58"/>
      <c r="J120" s="58"/>
      <c r="K120" s="58"/>
    </row>
  </sheetData>
  <autoFilter ref="A8:K116"/>
  <mergeCells count="79">
    <mergeCell ref="I1:K1"/>
    <mergeCell ref="I2:J2"/>
    <mergeCell ref="I3:K3"/>
    <mergeCell ref="B5:K5"/>
    <mergeCell ref="A7:A8"/>
    <mergeCell ref="B7:B8"/>
    <mergeCell ref="C7:C8"/>
    <mergeCell ref="D7:K7"/>
    <mergeCell ref="A9:A12"/>
    <mergeCell ref="B9:B12"/>
    <mergeCell ref="A13:A16"/>
    <mergeCell ref="B13:B16"/>
    <mergeCell ref="A17:A20"/>
    <mergeCell ref="B17:B20"/>
    <mergeCell ref="A21:A22"/>
    <mergeCell ref="B21:B22"/>
    <mergeCell ref="A23:A24"/>
    <mergeCell ref="B23:B24"/>
    <mergeCell ref="A25:A28"/>
    <mergeCell ref="B25:B28"/>
    <mergeCell ref="A29:A30"/>
    <mergeCell ref="B29:B30"/>
    <mergeCell ref="A31:A32"/>
    <mergeCell ref="B31:B32"/>
    <mergeCell ref="A33:A34"/>
    <mergeCell ref="B33:B34"/>
    <mergeCell ref="A35:A38"/>
    <mergeCell ref="B35:B38"/>
    <mergeCell ref="A39:A42"/>
    <mergeCell ref="B39:B42"/>
    <mergeCell ref="A43:A44"/>
    <mergeCell ref="B43:B44"/>
    <mergeCell ref="A45:A47"/>
    <mergeCell ref="B45:B47"/>
    <mergeCell ref="A48:A50"/>
    <mergeCell ref="B48:B50"/>
    <mergeCell ref="A51:A52"/>
    <mergeCell ref="B51:B52"/>
    <mergeCell ref="A53:A56"/>
    <mergeCell ref="B53:B56"/>
    <mergeCell ref="A57:A58"/>
    <mergeCell ref="B57:B58"/>
    <mergeCell ref="A59:A60"/>
    <mergeCell ref="B59:B60"/>
    <mergeCell ref="A61:A62"/>
    <mergeCell ref="B61:B62"/>
    <mergeCell ref="A63:A66"/>
    <mergeCell ref="B63:B66"/>
    <mergeCell ref="A67:A70"/>
    <mergeCell ref="B67:B70"/>
    <mergeCell ref="A71:A72"/>
    <mergeCell ref="B71:B72"/>
    <mergeCell ref="A73:A76"/>
    <mergeCell ref="B73:B76"/>
    <mergeCell ref="A77:A78"/>
    <mergeCell ref="B77:B78"/>
    <mergeCell ref="A79:A80"/>
    <mergeCell ref="B79:B80"/>
    <mergeCell ref="A81:A83"/>
    <mergeCell ref="B81:B83"/>
    <mergeCell ref="A84:A86"/>
    <mergeCell ref="B84:B86"/>
    <mergeCell ref="A87:A90"/>
    <mergeCell ref="B87:B90"/>
    <mergeCell ref="A91:A92"/>
    <mergeCell ref="B91:B92"/>
    <mergeCell ref="A93:A96"/>
    <mergeCell ref="B93:B96"/>
    <mergeCell ref="A97:A100"/>
    <mergeCell ref="B97:B100"/>
    <mergeCell ref="A101:A104"/>
    <mergeCell ref="B101:B104"/>
    <mergeCell ref="A105:A106"/>
    <mergeCell ref="B105:B106"/>
    <mergeCell ref="A107:A110"/>
    <mergeCell ref="B107:B110"/>
    <mergeCell ref="A111:A114"/>
    <mergeCell ref="B111:B114"/>
    <mergeCell ref="A120:K120"/>
  </mergeCells>
  <pageMargins left="0.39374999999999999" right="0.39374999999999999" top="0.59027777777777801" bottom="0.51180555555555496" header="0.51180555555555496" footer="0.51180555555555496"/>
  <pageSetup paperSize="9" scale="50" fitToHeight="4" orientation="landscape" useFirstPageNumber="1" horizontalDpi="300" verticalDpi="300" r:id="rId1"/>
  <rowBreaks count="3" manualBreakCount="3">
    <brk id="32" max="16383" man="1"/>
    <brk id="58" max="16383" man="1"/>
    <brk id="90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81D41A"/>
    <pageSetUpPr fitToPage="1"/>
  </sheetPr>
  <dimension ref="A1:IX120"/>
  <sheetViews>
    <sheetView zoomScale="74" zoomScaleNormal="74" workbookViewId="0"/>
  </sheetViews>
  <sheetFormatPr defaultRowHeight="18.75"/>
  <cols>
    <col min="1" max="1" width="8.42578125" style="1" customWidth="1"/>
    <col min="2" max="2" width="57.42578125" style="2" customWidth="1"/>
    <col min="3" max="3" width="29.5703125" style="2" customWidth="1"/>
    <col min="4" max="4" width="22.85546875" style="2" customWidth="1"/>
    <col min="5" max="5" width="23.28515625" style="2" customWidth="1"/>
    <col min="6" max="6" width="21.42578125" style="2" customWidth="1"/>
    <col min="7" max="7" width="24" style="2" customWidth="1"/>
    <col min="8" max="8" width="21" style="2" customWidth="1"/>
    <col min="9" max="9" width="20.28515625" style="2" customWidth="1"/>
    <col min="10" max="10" width="19" style="2" customWidth="1"/>
    <col min="11" max="11" width="23.42578125" style="3" customWidth="1"/>
    <col min="12" max="253" width="8.42578125" style="4" customWidth="1"/>
    <col min="254" max="254" width="5.42578125" style="4" customWidth="1"/>
    <col min="255" max="255" width="18.42578125" style="4" customWidth="1"/>
    <col min="256" max="256" width="38.42578125" style="4" customWidth="1"/>
    <col min="257" max="258" width="35.42578125" style="4" customWidth="1"/>
    <col min="259" max="1025" width="35.42578125" customWidth="1"/>
  </cols>
  <sheetData>
    <row r="1" spans="1:11" ht="88.9" customHeight="1">
      <c r="G1"/>
      <c r="H1" s="5"/>
      <c r="I1" s="70" t="s">
        <v>0</v>
      </c>
      <c r="J1" s="70"/>
      <c r="K1" s="70"/>
    </row>
    <row r="2" spans="1:11" ht="40.9" customHeight="1">
      <c r="A2" s="6"/>
      <c r="B2" s="7"/>
      <c r="C2" s="7"/>
      <c r="D2" s="7"/>
      <c r="G2"/>
      <c r="H2" s="8"/>
      <c r="I2" s="71" t="s">
        <v>1</v>
      </c>
      <c r="J2" s="71"/>
      <c r="K2" s="8"/>
    </row>
    <row r="3" spans="1:11" ht="21" customHeight="1">
      <c r="A3" s="6"/>
      <c r="B3" s="7"/>
      <c r="C3" s="7"/>
      <c r="D3" s="7"/>
      <c r="G3"/>
      <c r="H3" s="9"/>
      <c r="I3" s="71" t="s">
        <v>2</v>
      </c>
      <c r="J3" s="71"/>
      <c r="K3" s="71"/>
    </row>
    <row r="4" spans="1:11" ht="18.600000000000001" customHeight="1">
      <c r="A4" s="6"/>
      <c r="B4" s="7"/>
      <c r="C4" s="7"/>
      <c r="D4" s="7"/>
      <c r="G4" s="10"/>
      <c r="H4" s="10"/>
      <c r="I4" s="10"/>
      <c r="J4" s="10"/>
      <c r="K4" s="11"/>
    </row>
    <row r="5" spans="1:11" ht="51.2" customHeight="1">
      <c r="A5"/>
      <c r="B5" s="72" t="s">
        <v>3</v>
      </c>
      <c r="C5" s="72"/>
      <c r="D5" s="72"/>
      <c r="E5" s="72"/>
      <c r="F5" s="72"/>
      <c r="G5" s="72"/>
      <c r="H5" s="72"/>
      <c r="I5" s="72"/>
      <c r="J5" s="72"/>
      <c r="K5" s="72"/>
    </row>
    <row r="6" spans="1:11" s="13" customFormat="1">
      <c r="A6" s="1"/>
      <c r="B6" s="2"/>
      <c r="C6" s="2"/>
      <c r="D6" s="2"/>
      <c r="E6" s="12"/>
      <c r="F6" s="12"/>
      <c r="G6" s="12"/>
      <c r="H6" s="12"/>
      <c r="I6" s="12"/>
      <c r="J6" s="12"/>
      <c r="K6" s="3"/>
    </row>
    <row r="7" spans="1:11" s="13" customFormat="1" ht="30.75" customHeight="1">
      <c r="A7" s="73" t="s">
        <v>4</v>
      </c>
      <c r="B7" s="74" t="s">
        <v>5</v>
      </c>
      <c r="C7" s="74" t="s">
        <v>6</v>
      </c>
      <c r="D7" s="75" t="s">
        <v>7</v>
      </c>
      <c r="E7" s="75"/>
      <c r="F7" s="75"/>
      <c r="G7" s="75"/>
      <c r="H7" s="75"/>
      <c r="I7" s="75"/>
      <c r="J7" s="75"/>
      <c r="K7" s="75"/>
    </row>
    <row r="8" spans="1:11" s="13" customFormat="1" ht="59.65" customHeight="1">
      <c r="A8" s="73"/>
      <c r="B8" s="74"/>
      <c r="C8" s="74"/>
      <c r="D8" s="14" t="s">
        <v>8</v>
      </c>
      <c r="E8" s="14" t="s">
        <v>9</v>
      </c>
      <c r="F8" s="14" t="s">
        <v>10</v>
      </c>
      <c r="G8" s="14" t="s">
        <v>11</v>
      </c>
      <c r="H8" s="14" t="s">
        <v>12</v>
      </c>
      <c r="I8" s="14" t="s">
        <v>13</v>
      </c>
      <c r="J8" s="14" t="s">
        <v>14</v>
      </c>
      <c r="K8" s="16" t="s">
        <v>15</v>
      </c>
    </row>
    <row r="9" spans="1:11" s="21" customFormat="1" ht="27.75" customHeight="1">
      <c r="A9" s="93"/>
      <c r="B9" s="77" t="s">
        <v>16</v>
      </c>
      <c r="C9" s="17" t="s">
        <v>17</v>
      </c>
      <c r="D9" s="18">
        <f t="shared" ref="D9:J9" si="0">SUM(D10:D12)</f>
        <v>231720.74199999997</v>
      </c>
      <c r="E9" s="19">
        <f t="shared" si="0"/>
        <v>251967.53399999999</v>
      </c>
      <c r="F9" s="19">
        <f t="shared" si="0"/>
        <v>282378.47200000001</v>
      </c>
      <c r="G9" s="20">
        <f t="shared" si="0"/>
        <v>310561.42</v>
      </c>
      <c r="H9" s="20">
        <f t="shared" si="0"/>
        <v>310267.90000000002</v>
      </c>
      <c r="I9" s="20">
        <f t="shared" si="0"/>
        <v>306288.8</v>
      </c>
      <c r="J9" s="20">
        <f t="shared" si="0"/>
        <v>366249.4</v>
      </c>
      <c r="K9" s="19">
        <v>2059434.2</v>
      </c>
    </row>
    <row r="10" spans="1:11" s="21" customFormat="1">
      <c r="A10" s="93"/>
      <c r="B10" s="77"/>
      <c r="C10" s="22" t="s">
        <v>18</v>
      </c>
      <c r="D10" s="23">
        <f>SUM(D14+D88+D94+D102+D108)</f>
        <v>6445.3</v>
      </c>
      <c r="E10" s="24">
        <f>SUM(E14+E88+E94+E102+E108)</f>
        <v>6105.0339999999997</v>
      </c>
      <c r="F10" s="24">
        <f>SUM(F14+F88+F94+F102+F108+F112)</f>
        <v>6980.4780000000001</v>
      </c>
      <c r="G10" s="24">
        <f>SUM(G14+G88+G94+G102+G108)</f>
        <v>9385.36</v>
      </c>
      <c r="H10" s="24">
        <f>SUM(H14+H88+H94+H102+H108)</f>
        <v>11536.911999999998</v>
      </c>
      <c r="I10" s="24">
        <f>SUM(I14+I88+I94+I102+I108)</f>
        <v>11302.891999999998</v>
      </c>
      <c r="J10" s="24">
        <f>SUM(J14+J88+J94+J102+J108)</f>
        <v>64103.15</v>
      </c>
      <c r="K10" s="25">
        <f t="shared" ref="K10:K41" si="1">SUM(D10:J10)</f>
        <v>115859.12599999999</v>
      </c>
    </row>
    <row r="11" spans="1:11" s="21" customFormat="1">
      <c r="A11" s="93"/>
      <c r="B11" s="77"/>
      <c r="C11" s="22" t="s">
        <v>19</v>
      </c>
      <c r="D11" s="23">
        <f>SUM(D15+D89+D95)</f>
        <v>135973.96299999999</v>
      </c>
      <c r="E11" s="24">
        <f>SUM(E15+E89+E95)</f>
        <v>158372.66999999998</v>
      </c>
      <c r="F11" s="24">
        <f>SUM(F15+F89+F95)</f>
        <v>174278.00200000001</v>
      </c>
      <c r="G11" s="24">
        <f>SUM(G15+G89+G95)</f>
        <v>201359.96000000002</v>
      </c>
      <c r="H11" s="24">
        <f>SUM(H15+H89+H99+H106)</f>
        <v>186511.58799999999</v>
      </c>
      <c r="I11" s="24">
        <f>SUM(I15+I89+I99+I106)</f>
        <v>187465.008</v>
      </c>
      <c r="J11" s="24">
        <f>SUM(J15+J89+J99+J106)</f>
        <v>186121.45</v>
      </c>
      <c r="K11" s="25">
        <f t="shared" si="1"/>
        <v>1230082.6410000001</v>
      </c>
    </row>
    <row r="12" spans="1:11" s="27" customFormat="1" ht="23.25" customHeight="1">
      <c r="A12" s="93"/>
      <c r="B12" s="77"/>
      <c r="C12" s="22" t="s">
        <v>20</v>
      </c>
      <c r="D12" s="23">
        <f>SUM(D16+D90+D96+D104+D110)</f>
        <v>89301.478999999992</v>
      </c>
      <c r="E12" s="24">
        <f>SUM(E16+E90+E96+E104+E110)</f>
        <v>87489.83</v>
      </c>
      <c r="F12" s="26">
        <f>SUM(F16+F90+F96+F104+F110)</f>
        <v>101119.992</v>
      </c>
      <c r="G12" s="24">
        <f>SUM(G16+G90+G96+G104+G110)</f>
        <v>99816.099999999977</v>
      </c>
      <c r="H12" s="24">
        <f>SUM(H16+H90+H100+H104+H110)</f>
        <v>112219.4</v>
      </c>
      <c r="I12" s="24">
        <f>SUM(I16+I90+I100+I104+I110)</f>
        <v>107520.90000000001</v>
      </c>
      <c r="J12" s="24">
        <f>SUM(J16+J90+J100+J104+J110)</f>
        <v>116024.8</v>
      </c>
      <c r="K12" s="25">
        <f t="shared" si="1"/>
        <v>713492.50100000005</v>
      </c>
    </row>
    <row r="13" spans="1:11" s="7" customFormat="1" ht="25.35" customHeight="1">
      <c r="A13" s="76">
        <v>1</v>
      </c>
      <c r="B13" s="77" t="s">
        <v>21</v>
      </c>
      <c r="C13" s="17" t="s">
        <v>17</v>
      </c>
      <c r="D13" s="18">
        <f t="shared" ref="D13:J13" si="2">SUM(D14:D16)</f>
        <v>210846.52799999999</v>
      </c>
      <c r="E13" s="18">
        <f t="shared" si="2"/>
        <v>229197.5</v>
      </c>
      <c r="F13" s="28">
        <f t="shared" si="2"/>
        <v>257470.592</v>
      </c>
      <c r="G13" s="28">
        <f t="shared" si="2"/>
        <v>284501.52999999997</v>
      </c>
      <c r="H13" s="28">
        <f t="shared" si="2"/>
        <v>282310.40000000002</v>
      </c>
      <c r="I13" s="28">
        <f t="shared" si="2"/>
        <v>277646.3</v>
      </c>
      <c r="J13" s="28">
        <f t="shared" si="2"/>
        <v>337027.9</v>
      </c>
      <c r="K13" s="18">
        <f t="shared" si="1"/>
        <v>1879000.75</v>
      </c>
    </row>
    <row r="14" spans="1:11" ht="25.5" customHeight="1">
      <c r="A14" s="76"/>
      <c r="B14" s="77"/>
      <c r="C14" s="22" t="s">
        <v>22</v>
      </c>
      <c r="D14" s="29">
        <f>SUM(D18+D26)</f>
        <v>6445.3</v>
      </c>
      <c r="E14" s="29">
        <f>SUM(E18+E26+E68)</f>
        <v>6105.0339999999997</v>
      </c>
      <c r="F14" s="28">
        <f>SUM(F18+F26)</f>
        <v>6980.4780000000001</v>
      </c>
      <c r="G14" s="28">
        <f>SUM(G18+G26)</f>
        <v>9385.36</v>
      </c>
      <c r="H14" s="28">
        <f>SUM(H18+H26)</f>
        <v>11536.911999999998</v>
      </c>
      <c r="I14" s="28">
        <f>SUM(I18+I26)</f>
        <v>11302.891999999998</v>
      </c>
      <c r="J14" s="28">
        <f>SUM(J18+J26)</f>
        <v>64103.15</v>
      </c>
      <c r="K14" s="23">
        <f t="shared" si="1"/>
        <v>115859.12599999999</v>
      </c>
    </row>
    <row r="15" spans="1:11" s="7" customFormat="1" ht="23.25" customHeight="1">
      <c r="A15" s="76"/>
      <c r="B15" s="77"/>
      <c r="C15" s="22" t="s">
        <v>23</v>
      </c>
      <c r="D15" s="24">
        <f>SUM(D19+D27+D69+D75)</f>
        <v>126358.56299999999</v>
      </c>
      <c r="E15" s="24">
        <f>SUM(E19+E27+E69+E75+E78)</f>
        <v>147806.76999999999</v>
      </c>
      <c r="F15" s="30">
        <f>SUM(F19+F27+F69+F78+F82)</f>
        <v>163473.622</v>
      </c>
      <c r="G15" s="30">
        <f>SUM(G19+G27+G69+G80+G85)</f>
        <v>190073.14</v>
      </c>
      <c r="H15" s="30">
        <f>SUM(H19+H27+H69+H78+H82)</f>
        <v>173557.58799999999</v>
      </c>
      <c r="I15" s="30">
        <f>SUM(I19+I27+I69+I78+I82)</f>
        <v>173826.008</v>
      </c>
      <c r="J15" s="30">
        <f>SUM(J19+J27+J69+J78+J82)</f>
        <v>171903.45</v>
      </c>
      <c r="K15" s="23">
        <f t="shared" si="1"/>
        <v>1146999.1410000001</v>
      </c>
    </row>
    <row r="16" spans="1:11" s="21" customFormat="1">
      <c r="A16" s="76"/>
      <c r="B16" s="77"/>
      <c r="C16" s="22" t="s">
        <v>20</v>
      </c>
      <c r="D16" s="24">
        <f>SUM(D20+D28+D70+D72+D76)</f>
        <v>78042.664999999994</v>
      </c>
      <c r="E16" s="24">
        <f>SUM(E20+E28+E70+E72+E76)</f>
        <v>75285.695999999996</v>
      </c>
      <c r="F16" s="30">
        <f>SUM(F20+F28+F70+F72+F83)</f>
        <v>87016.491999999998</v>
      </c>
      <c r="G16" s="30">
        <f>SUM(G20+G28+G70+G72+G86)</f>
        <v>85043.029999999984</v>
      </c>
      <c r="H16" s="30">
        <f>SUM(H20+H28+H70+H72+H83)</f>
        <v>97215.9</v>
      </c>
      <c r="I16" s="30">
        <f>SUM(I20+I28+I70+I72+I83)</f>
        <v>92517.400000000009</v>
      </c>
      <c r="J16" s="30">
        <f>SUM(J20+J28+J70+J72+J83)</f>
        <v>101021.3</v>
      </c>
      <c r="K16" s="23">
        <f t="shared" si="1"/>
        <v>616142.48300000001</v>
      </c>
    </row>
    <row r="17" spans="1:11" s="7" customFormat="1" ht="19.350000000000001" customHeight="1">
      <c r="A17" s="81" t="s">
        <v>24</v>
      </c>
      <c r="B17" s="84" t="s">
        <v>25</v>
      </c>
      <c r="C17" s="17" t="s">
        <v>17</v>
      </c>
      <c r="D17" s="28">
        <f t="shared" ref="D17:J17" si="3">SUM(D18:D20)</f>
        <v>124072.935</v>
      </c>
      <c r="E17" s="28">
        <f t="shared" si="3"/>
        <v>135535.09599999999</v>
      </c>
      <c r="F17" s="28">
        <f t="shared" si="3"/>
        <v>153022.04</v>
      </c>
      <c r="G17" s="28">
        <f t="shared" si="3"/>
        <v>168311.5</v>
      </c>
      <c r="H17" s="28">
        <f t="shared" si="3"/>
        <v>170973.09999999998</v>
      </c>
      <c r="I17" s="28">
        <f t="shared" si="3"/>
        <v>168258.7</v>
      </c>
      <c r="J17" s="28">
        <f t="shared" si="3"/>
        <v>169581.90000000002</v>
      </c>
      <c r="K17" s="18">
        <f t="shared" si="1"/>
        <v>1089755.2710000002</v>
      </c>
    </row>
    <row r="18" spans="1:11" s="7" customFormat="1" ht="26.25" customHeight="1">
      <c r="A18" s="81"/>
      <c r="B18" s="84"/>
      <c r="C18" s="22" t="s">
        <v>18</v>
      </c>
      <c r="D18" s="30"/>
      <c r="E18" s="30"/>
      <c r="F18" s="30"/>
      <c r="G18" s="30"/>
      <c r="H18" s="30"/>
      <c r="I18" s="30"/>
      <c r="J18" s="30"/>
      <c r="K18" s="23">
        <f t="shared" si="1"/>
        <v>0</v>
      </c>
    </row>
    <row r="19" spans="1:11" s="7" customFormat="1" ht="26.25" customHeight="1">
      <c r="A19" s="81"/>
      <c r="B19" s="84"/>
      <c r="C19" s="31" t="s">
        <v>23</v>
      </c>
      <c r="D19" s="30">
        <v>71134</v>
      </c>
      <c r="E19" s="30">
        <f>79060.4-1697.7+4260+6672-438.6</f>
        <v>87856.099999999991</v>
      </c>
      <c r="F19" s="30">
        <f>76016.7+2466.4+2458+7644.8+6461.7-90-952</f>
        <v>94005.599999999991</v>
      </c>
      <c r="G19" s="30">
        <f>92557+4389.2+162.5+350.3+145.3+4864.2+6048.1+86.1-286.8</f>
        <v>108315.90000000001</v>
      </c>
      <c r="H19" s="30">
        <v>99710.7</v>
      </c>
      <c r="I19" s="30">
        <v>100070.9</v>
      </c>
      <c r="J19" s="30">
        <v>92898.1</v>
      </c>
      <c r="K19" s="23">
        <f t="shared" si="1"/>
        <v>653991.29999999993</v>
      </c>
    </row>
    <row r="20" spans="1:11" s="7" customFormat="1" ht="26.25" customHeight="1">
      <c r="A20" s="81"/>
      <c r="B20" s="84"/>
      <c r="C20" s="32" t="s">
        <v>20</v>
      </c>
      <c r="D20" s="23">
        <v>52938.934999999998</v>
      </c>
      <c r="E20" s="30">
        <f>48011.4+1724.896+1697.7-2423.2-1162.9+282.8-451.7</f>
        <v>47678.996000000006</v>
      </c>
      <c r="F20" s="30">
        <f>55670.5+4087.1+398.4+11.9-199.1-410-8.96-482.2-30.1-21.1</f>
        <v>59016.44000000001</v>
      </c>
      <c r="G20" s="30">
        <f>56204.2+136.6+15+27+600+269.9+2758.1-74+736.1+361.4-1.2-996-40.7-0.8</f>
        <v>59995.6</v>
      </c>
      <c r="H20" s="30">
        <v>71262.399999999994</v>
      </c>
      <c r="I20" s="30">
        <v>68187.8</v>
      </c>
      <c r="J20" s="30">
        <v>76683.8</v>
      </c>
      <c r="K20" s="23">
        <f t="shared" si="1"/>
        <v>435763.97100000002</v>
      </c>
    </row>
    <row r="21" spans="1:11" s="7" customFormat="1" ht="26.85" customHeight="1">
      <c r="A21" s="83" t="s">
        <v>26</v>
      </c>
      <c r="B21" s="79" t="s">
        <v>27</v>
      </c>
      <c r="C21" s="33" t="s">
        <v>17</v>
      </c>
      <c r="D21" s="30">
        <f t="shared" ref="D21:J21" si="4">SUM(D22)</f>
        <v>1444.2</v>
      </c>
      <c r="E21" s="30">
        <f t="shared" si="4"/>
        <v>1492.1</v>
      </c>
      <c r="F21" s="30">
        <f t="shared" si="4"/>
        <v>1514.4</v>
      </c>
      <c r="G21" s="30">
        <f t="shared" si="4"/>
        <v>1345.2</v>
      </c>
      <c r="H21" s="30">
        <f t="shared" si="4"/>
        <v>1284</v>
      </c>
      <c r="I21" s="30">
        <f t="shared" si="4"/>
        <v>1284</v>
      </c>
      <c r="J21" s="30">
        <f t="shared" si="4"/>
        <v>1284</v>
      </c>
      <c r="K21" s="23">
        <f t="shared" si="1"/>
        <v>9647.9000000000015</v>
      </c>
    </row>
    <row r="22" spans="1:11" s="7" customFormat="1" ht="57.4" customHeight="1">
      <c r="A22" s="83"/>
      <c r="B22" s="79"/>
      <c r="C22" s="32" t="s">
        <v>19</v>
      </c>
      <c r="D22" s="30">
        <v>1444.2</v>
      </c>
      <c r="E22" s="30">
        <v>1492.1</v>
      </c>
      <c r="F22" s="30">
        <f>2466.4-952</f>
        <v>1514.4</v>
      </c>
      <c r="G22" s="30">
        <f>1632-286.8</f>
        <v>1345.2</v>
      </c>
      <c r="H22" s="30">
        <v>1284</v>
      </c>
      <c r="I22" s="30">
        <v>1284</v>
      </c>
      <c r="J22" s="30">
        <v>1284</v>
      </c>
      <c r="K22" s="23">
        <f t="shared" si="1"/>
        <v>9647.9000000000015</v>
      </c>
    </row>
    <row r="23" spans="1:11" s="7" customFormat="1" ht="39.6" customHeight="1">
      <c r="A23" s="83" t="s">
        <v>28</v>
      </c>
      <c r="B23" s="79" t="s">
        <v>29</v>
      </c>
      <c r="C23" s="33" t="s">
        <v>17</v>
      </c>
      <c r="D23" s="30">
        <f t="shared" ref="D23:I23" si="5">SUM(D24)</f>
        <v>0</v>
      </c>
      <c r="E23" s="30">
        <f t="shared" si="5"/>
        <v>717.4</v>
      </c>
      <c r="F23" s="30">
        <f t="shared" si="5"/>
        <v>0</v>
      </c>
      <c r="G23" s="30">
        <f t="shared" si="5"/>
        <v>0</v>
      </c>
      <c r="H23" s="30">
        <f t="shared" si="5"/>
        <v>0</v>
      </c>
      <c r="I23" s="30">
        <f t="shared" si="5"/>
        <v>0</v>
      </c>
      <c r="J23" s="30"/>
      <c r="K23" s="23">
        <f t="shared" si="1"/>
        <v>717.4</v>
      </c>
    </row>
    <row r="24" spans="1:11" s="7" customFormat="1" ht="39.6" customHeight="1">
      <c r="A24" s="83"/>
      <c r="B24" s="79"/>
      <c r="C24" s="32" t="s">
        <v>19</v>
      </c>
      <c r="D24" s="30">
        <v>0</v>
      </c>
      <c r="E24" s="30">
        <f>697.5+19.9</f>
        <v>717.4</v>
      </c>
      <c r="F24" s="30">
        <v>0</v>
      </c>
      <c r="G24" s="30">
        <v>0</v>
      </c>
      <c r="H24" s="30">
        <v>0</v>
      </c>
      <c r="I24" s="30">
        <v>0</v>
      </c>
      <c r="J24" s="30"/>
      <c r="K24" s="23">
        <f t="shared" si="1"/>
        <v>717.4</v>
      </c>
    </row>
    <row r="25" spans="1:11" s="7" customFormat="1" ht="30.4" customHeight="1">
      <c r="A25" s="56" t="s">
        <v>30</v>
      </c>
      <c r="B25" s="84" t="s">
        <v>31</v>
      </c>
      <c r="C25" s="17" t="s">
        <v>17</v>
      </c>
      <c r="D25" s="28">
        <f t="shared" ref="D25:J25" si="6">SUM(D26:D28)</f>
        <v>69732.22</v>
      </c>
      <c r="E25" s="18">
        <f t="shared" si="6"/>
        <v>77012.804000000004</v>
      </c>
      <c r="F25" s="28">
        <f t="shared" si="6"/>
        <v>81148.752000000008</v>
      </c>
      <c r="G25" s="29">
        <f t="shared" si="6"/>
        <v>92900.13</v>
      </c>
      <c r="H25" s="29">
        <f t="shared" si="6"/>
        <v>92649.700000000012</v>
      </c>
      <c r="I25" s="28">
        <f t="shared" si="6"/>
        <v>90833.1</v>
      </c>
      <c r="J25" s="28">
        <f t="shared" si="6"/>
        <v>148891.5</v>
      </c>
      <c r="K25" s="18">
        <f t="shared" si="1"/>
        <v>653168.20600000001</v>
      </c>
    </row>
    <row r="26" spans="1:11" s="7" customFormat="1" ht="25.35" customHeight="1">
      <c r="A26" s="56"/>
      <c r="B26" s="84"/>
      <c r="C26" s="22" t="s">
        <v>18</v>
      </c>
      <c r="D26" s="30">
        <v>6445.3</v>
      </c>
      <c r="E26" s="23">
        <f>6616.296-600-50.3+84.8+240.07-8.8-177-0.032</f>
        <v>6105.0339999999997</v>
      </c>
      <c r="F26" s="23">
        <v>6980.4780000000001</v>
      </c>
      <c r="G26" s="24">
        <f>7000.3+670+149.9+2174.8-30.1-612.4+32.86</f>
        <v>9385.36</v>
      </c>
      <c r="H26" s="24">
        <f>H32+H34+H36+H40+H54+H58</f>
        <v>11536.911999999998</v>
      </c>
      <c r="I26" s="24">
        <f>I32+I34+I36+I40+I54+I58</f>
        <v>11302.891999999998</v>
      </c>
      <c r="J26" s="24">
        <f>J32+J34+J36+J40+J54+J58+J64</f>
        <v>64103.15</v>
      </c>
      <c r="K26" s="23">
        <f t="shared" si="1"/>
        <v>115859.12599999999</v>
      </c>
    </row>
    <row r="27" spans="1:11" ht="22.7" customHeight="1">
      <c r="A27" s="56"/>
      <c r="B27" s="84"/>
      <c r="C27" s="22" t="s">
        <v>19</v>
      </c>
      <c r="D27" s="30">
        <v>48668</v>
      </c>
      <c r="E27" s="23">
        <f>52411.204+600+1339.2-2.6+2.43-223.164</f>
        <v>54127.07</v>
      </c>
      <c r="F27" s="23">
        <v>57028.122000000003</v>
      </c>
      <c r="G27" s="24">
        <f>57255.6-0.1+2548+44.5+55.5+2198+177.3+24.8+4467.4-49.1-120.2-934+5.5+2.14</f>
        <v>65675.34</v>
      </c>
      <c r="H27" s="24">
        <v>63846.887999999999</v>
      </c>
      <c r="I27" s="23">
        <v>63755.108</v>
      </c>
      <c r="J27" s="23">
        <f>63771.15+J65</f>
        <v>69005.350000000006</v>
      </c>
      <c r="K27" s="23">
        <f t="shared" si="1"/>
        <v>422105.87800000003</v>
      </c>
    </row>
    <row r="28" spans="1:11" ht="29.1" customHeight="1">
      <c r="A28" s="56"/>
      <c r="B28" s="84"/>
      <c r="C28" s="22" t="s">
        <v>20</v>
      </c>
      <c r="D28" s="35">
        <v>14618.92</v>
      </c>
      <c r="E28" s="35">
        <f>11952.3+1891.5+3137.6+154.9-352.9-2.7</f>
        <v>16780.699999999997</v>
      </c>
      <c r="F28" s="36">
        <v>17140.151999999998</v>
      </c>
      <c r="G28" s="30">
        <f>14334+128.43+10+119.7-600+837.2-0.1+2854.1+41.2+152.5-29.4+1.4-9.6</f>
        <v>17839.430000000004</v>
      </c>
      <c r="H28" s="30">
        <v>17265.900000000001</v>
      </c>
      <c r="I28" s="36">
        <v>15775.1</v>
      </c>
      <c r="J28" s="36">
        <f>15195.5+J66</f>
        <v>15783</v>
      </c>
      <c r="K28" s="23">
        <f t="shared" si="1"/>
        <v>115203.20200000002</v>
      </c>
    </row>
    <row r="29" spans="1:11" ht="26.65" customHeight="1">
      <c r="A29" s="83" t="s">
        <v>32</v>
      </c>
      <c r="B29" s="92" t="s">
        <v>33</v>
      </c>
      <c r="C29" s="17" t="s">
        <v>17</v>
      </c>
      <c r="D29" s="30">
        <f t="shared" ref="D29:J29" si="7">SUM(D30)</f>
        <v>34.299999999999997</v>
      </c>
      <c r="E29" s="30">
        <f t="shared" si="7"/>
        <v>34.299999999999997</v>
      </c>
      <c r="F29" s="23">
        <f t="shared" si="7"/>
        <v>50.805999999999997</v>
      </c>
      <c r="G29" s="30">
        <f t="shared" si="7"/>
        <v>156.80000000000001</v>
      </c>
      <c r="H29" s="30">
        <f t="shared" si="7"/>
        <v>219.4</v>
      </c>
      <c r="I29" s="23">
        <f t="shared" si="7"/>
        <v>219.4</v>
      </c>
      <c r="J29" s="23">
        <f t="shared" si="7"/>
        <v>219.4</v>
      </c>
      <c r="K29" s="23">
        <f t="shared" si="1"/>
        <v>934.40599999999995</v>
      </c>
    </row>
    <row r="30" spans="1:11" ht="27.75" customHeight="1">
      <c r="A30" s="83"/>
      <c r="B30" s="92"/>
      <c r="C30" s="22" t="s">
        <v>20</v>
      </c>
      <c r="D30" s="30">
        <v>34.299999999999997</v>
      </c>
      <c r="E30" s="30">
        <f>37-2.7</f>
        <v>34.299999999999997</v>
      </c>
      <c r="F30" s="23">
        <v>50.805999999999997</v>
      </c>
      <c r="G30" s="30">
        <v>156.80000000000001</v>
      </c>
      <c r="H30" s="30">
        <v>219.4</v>
      </c>
      <c r="I30" s="23">
        <v>219.4</v>
      </c>
      <c r="J30" s="23">
        <v>219.4</v>
      </c>
      <c r="K30" s="23">
        <f t="shared" si="1"/>
        <v>934.40599999999995</v>
      </c>
    </row>
    <row r="31" spans="1:11" s="39" customFormat="1" ht="23.85" customHeight="1">
      <c r="A31" s="91" t="s">
        <v>34</v>
      </c>
      <c r="B31" s="67" t="s">
        <v>35</v>
      </c>
      <c r="C31" s="37" t="s">
        <v>17</v>
      </c>
      <c r="D31" s="38">
        <f t="shared" ref="D31:I31" si="8">SUM(D32)</f>
        <v>4183.3</v>
      </c>
      <c r="E31" s="38">
        <f t="shared" si="8"/>
        <v>4079.8999999999996</v>
      </c>
      <c r="F31" s="38">
        <f t="shared" si="8"/>
        <v>4402.1000000000004</v>
      </c>
      <c r="G31" s="38">
        <f t="shared" si="8"/>
        <v>0</v>
      </c>
      <c r="H31" s="38">
        <f t="shared" si="8"/>
        <v>0</v>
      </c>
      <c r="I31" s="38">
        <f t="shared" si="8"/>
        <v>0</v>
      </c>
      <c r="J31" s="38" t="s">
        <v>36</v>
      </c>
      <c r="K31" s="23">
        <f t="shared" si="1"/>
        <v>12665.300000000001</v>
      </c>
    </row>
    <row r="32" spans="1:11" s="39" customFormat="1" ht="69.75" customHeight="1">
      <c r="A32" s="91"/>
      <c r="B32" s="67"/>
      <c r="C32" s="40" t="s">
        <v>18</v>
      </c>
      <c r="D32" s="38">
        <v>4183.3</v>
      </c>
      <c r="E32" s="38">
        <f>4222.4-50.3+84.8-177</f>
        <v>4079.8999999999996</v>
      </c>
      <c r="F32" s="26">
        <v>4402.1000000000004</v>
      </c>
      <c r="G32" s="26"/>
      <c r="H32" s="26"/>
      <c r="I32" s="26"/>
      <c r="J32" s="26"/>
      <c r="K32" s="23">
        <f t="shared" si="1"/>
        <v>12665.300000000001</v>
      </c>
    </row>
    <row r="33" spans="1:11" s="39" customFormat="1" ht="55.5" customHeight="1">
      <c r="A33" s="91" t="s">
        <v>37</v>
      </c>
      <c r="B33" s="67" t="s">
        <v>38</v>
      </c>
      <c r="C33" s="37" t="s">
        <v>17</v>
      </c>
      <c r="D33" s="38"/>
      <c r="E33" s="38"/>
      <c r="F33" s="26"/>
      <c r="G33" s="38">
        <f>SUM(G34)</f>
        <v>6634.5000000000009</v>
      </c>
      <c r="H33" s="38">
        <f>SUM(H34)</f>
        <v>8444.7999999999993</v>
      </c>
      <c r="I33" s="38">
        <f>SUM(I34)</f>
        <v>8444.7999999999993</v>
      </c>
      <c r="J33" s="38">
        <f>SUM(J34)</f>
        <v>8444.7999999999993</v>
      </c>
      <c r="K33" s="23">
        <f t="shared" si="1"/>
        <v>31968.899999999998</v>
      </c>
    </row>
    <row r="34" spans="1:11" s="39" customFormat="1" ht="96.6" customHeight="1">
      <c r="A34" s="91"/>
      <c r="B34" s="67"/>
      <c r="C34" s="40" t="s">
        <v>18</v>
      </c>
      <c r="D34" s="38"/>
      <c r="E34" s="38"/>
      <c r="F34" s="26"/>
      <c r="G34" s="26">
        <f>4402.1+670+2174.8-612.4</f>
        <v>6634.5000000000009</v>
      </c>
      <c r="H34" s="26">
        <v>8444.7999999999993</v>
      </c>
      <c r="I34" s="26">
        <v>8444.7999999999993</v>
      </c>
      <c r="J34" s="26">
        <v>8444.7999999999993</v>
      </c>
      <c r="K34" s="23">
        <f t="shared" si="1"/>
        <v>31968.899999999998</v>
      </c>
    </row>
    <row r="35" spans="1:11" s="39" customFormat="1" ht="26.25" customHeight="1">
      <c r="A35" s="83" t="s">
        <v>39</v>
      </c>
      <c r="B35" s="66" t="s">
        <v>40</v>
      </c>
      <c r="C35" s="17" t="s">
        <v>17</v>
      </c>
      <c r="D35" s="30">
        <f t="shared" ref="D35:J35" si="9">SUM(D36:D38)</f>
        <v>1853</v>
      </c>
      <c r="E35" s="23">
        <f t="shared" si="9"/>
        <v>1918.2</v>
      </c>
      <c r="F35" s="41">
        <f t="shared" si="9"/>
        <v>1954.5500000000002</v>
      </c>
      <c r="G35" s="23">
        <f t="shared" si="9"/>
        <v>2024.3</v>
      </c>
      <c r="H35" s="23">
        <f t="shared" si="9"/>
        <v>2130.4</v>
      </c>
      <c r="I35" s="41">
        <f t="shared" si="9"/>
        <v>1907.1</v>
      </c>
      <c r="J35" s="41">
        <f t="shared" si="9"/>
        <v>1785.9</v>
      </c>
      <c r="K35" s="23">
        <f t="shared" si="1"/>
        <v>13573.45</v>
      </c>
    </row>
    <row r="36" spans="1:11" s="39" customFormat="1" ht="26.25" customHeight="1">
      <c r="A36" s="83"/>
      <c r="B36" s="66"/>
      <c r="C36" s="22" t="s">
        <v>18</v>
      </c>
      <c r="D36" s="30">
        <v>1742.7</v>
      </c>
      <c r="E36" s="23">
        <v>1785.06</v>
      </c>
      <c r="F36" s="24">
        <f>1838+27.63-46.945</f>
        <v>1818.6850000000002</v>
      </c>
      <c r="G36" s="24">
        <f>1850.9+32.86</f>
        <v>1883.76</v>
      </c>
      <c r="H36" s="24">
        <v>1982.46</v>
      </c>
      <c r="I36" s="24">
        <v>1736.96</v>
      </c>
      <c r="J36" s="24">
        <v>1608.88</v>
      </c>
      <c r="K36" s="23">
        <f t="shared" si="1"/>
        <v>12558.505000000001</v>
      </c>
    </row>
    <row r="37" spans="1:11" s="39" customFormat="1" ht="26.25" customHeight="1">
      <c r="A37" s="83"/>
      <c r="B37" s="66"/>
      <c r="C37" s="22" t="s">
        <v>19</v>
      </c>
      <c r="D37" s="30">
        <v>91.7</v>
      </c>
      <c r="E37" s="23">
        <v>113.94</v>
      </c>
      <c r="F37" s="24">
        <f>117.6+1.77-3.055</f>
        <v>116.31499999999998</v>
      </c>
      <c r="G37" s="24">
        <f>118.1+2.14</f>
        <v>120.24</v>
      </c>
      <c r="H37" s="24">
        <v>126.54</v>
      </c>
      <c r="I37" s="24">
        <v>151.04</v>
      </c>
      <c r="J37" s="24">
        <v>159.12</v>
      </c>
      <c r="K37" s="23">
        <f t="shared" si="1"/>
        <v>878.89499999999998</v>
      </c>
    </row>
    <row r="38" spans="1:11" s="39" customFormat="1" ht="24.95" customHeight="1">
      <c r="A38" s="83"/>
      <c r="B38" s="66"/>
      <c r="C38" s="22" t="s">
        <v>20</v>
      </c>
      <c r="D38" s="30">
        <v>18.600000000000001</v>
      </c>
      <c r="E38" s="30">
        <v>19.2</v>
      </c>
      <c r="F38" s="30">
        <f>19.8+0.3-0.55</f>
        <v>19.55</v>
      </c>
      <c r="G38" s="30">
        <f>19.9+10-9.6</f>
        <v>20.299999999999997</v>
      </c>
      <c r="H38" s="30">
        <v>21.4</v>
      </c>
      <c r="I38" s="30">
        <v>19.100000000000001</v>
      </c>
      <c r="J38" s="30">
        <v>17.899999999999999</v>
      </c>
      <c r="K38" s="23">
        <f t="shared" si="1"/>
        <v>136.04999999999998</v>
      </c>
    </row>
    <row r="39" spans="1:11" s="39" customFormat="1" ht="25.7" customHeight="1">
      <c r="A39" s="83" t="s">
        <v>41</v>
      </c>
      <c r="B39" s="66" t="s">
        <v>42</v>
      </c>
      <c r="C39" s="17" t="s">
        <v>17</v>
      </c>
      <c r="D39" s="30">
        <f t="shared" ref="D39:I39" si="10">SUM(D40:D42)</f>
        <v>530.02</v>
      </c>
      <c r="E39" s="30">
        <f t="shared" si="10"/>
        <v>0</v>
      </c>
      <c r="F39" s="30">
        <f t="shared" si="10"/>
        <v>0</v>
      </c>
      <c r="G39" s="30">
        <f t="shared" si="10"/>
        <v>0</v>
      </c>
      <c r="H39" s="30">
        <f t="shared" si="10"/>
        <v>0</v>
      </c>
      <c r="I39" s="30">
        <f t="shared" si="10"/>
        <v>0</v>
      </c>
      <c r="J39" s="30"/>
      <c r="K39" s="23">
        <f t="shared" si="1"/>
        <v>530.02</v>
      </c>
    </row>
    <row r="40" spans="1:11" s="39" customFormat="1" ht="25.7" customHeight="1">
      <c r="A40" s="83"/>
      <c r="B40" s="66"/>
      <c r="C40" s="22" t="s">
        <v>18</v>
      </c>
      <c r="D40" s="30">
        <f>666.3-129.1-17.7</f>
        <v>519.49999999999989</v>
      </c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/>
      <c r="K40" s="23">
        <f t="shared" si="1"/>
        <v>519.49999999999989</v>
      </c>
    </row>
    <row r="41" spans="1:11" s="39" customFormat="1" ht="21" customHeight="1">
      <c r="A41" s="83"/>
      <c r="B41" s="66"/>
      <c r="C41" s="22" t="s">
        <v>19</v>
      </c>
      <c r="D41" s="30">
        <f>6.7-1.5</f>
        <v>5.2</v>
      </c>
      <c r="E41" s="30">
        <v>0</v>
      </c>
      <c r="F41" s="30">
        <v>0</v>
      </c>
      <c r="G41" s="30">
        <v>0</v>
      </c>
      <c r="H41" s="30">
        <v>0</v>
      </c>
      <c r="I41" s="30">
        <v>0</v>
      </c>
      <c r="J41" s="30"/>
      <c r="K41" s="23">
        <f t="shared" si="1"/>
        <v>5.2</v>
      </c>
    </row>
    <row r="42" spans="1:11" s="39" customFormat="1" ht="21" customHeight="1">
      <c r="A42" s="83"/>
      <c r="B42" s="66"/>
      <c r="C42" s="22" t="s">
        <v>20</v>
      </c>
      <c r="D42" s="30">
        <f>6.8-1.3-0.18</f>
        <v>5.32</v>
      </c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30"/>
      <c r="K42" s="23">
        <f t="shared" ref="K42:K73" si="11">SUM(D42:J42)</f>
        <v>5.32</v>
      </c>
    </row>
    <row r="43" spans="1:11" s="39" customFormat="1" ht="24.95" customHeight="1">
      <c r="A43" s="91" t="s">
        <v>43</v>
      </c>
      <c r="B43" s="67" t="s">
        <v>44</v>
      </c>
      <c r="C43" s="37" t="s">
        <v>17</v>
      </c>
      <c r="D43" s="30">
        <f t="shared" ref="D43:J43" si="12">D44</f>
        <v>4.9000000000000004</v>
      </c>
      <c r="E43" s="30">
        <f t="shared" si="12"/>
        <v>10.1</v>
      </c>
      <c r="F43" s="30">
        <f t="shared" si="12"/>
        <v>10.6</v>
      </c>
      <c r="G43" s="30">
        <f t="shared" si="12"/>
        <v>5.1000000000000014</v>
      </c>
      <c r="H43" s="30">
        <f t="shared" si="12"/>
        <v>11.3</v>
      </c>
      <c r="I43" s="30">
        <f t="shared" si="12"/>
        <v>11.3</v>
      </c>
      <c r="J43" s="30">
        <f t="shared" si="12"/>
        <v>11.3</v>
      </c>
      <c r="K43" s="23">
        <f t="shared" si="11"/>
        <v>64.599999999999994</v>
      </c>
    </row>
    <row r="44" spans="1:11" s="39" customFormat="1" ht="24.95" customHeight="1">
      <c r="A44" s="91"/>
      <c r="B44" s="67"/>
      <c r="C44" s="22" t="s">
        <v>19</v>
      </c>
      <c r="D44" s="30">
        <f>8-3.1</f>
        <v>4.9000000000000004</v>
      </c>
      <c r="E44" s="30">
        <f>11.7-1.6</f>
        <v>10.1</v>
      </c>
      <c r="F44" s="30">
        <f>12.6-2</f>
        <v>10.6</v>
      </c>
      <c r="G44" s="30">
        <f>54.2-49.1</f>
        <v>5.1000000000000014</v>
      </c>
      <c r="H44" s="30">
        <v>11.3</v>
      </c>
      <c r="I44" s="30">
        <v>11.3</v>
      </c>
      <c r="J44" s="30">
        <v>11.3</v>
      </c>
      <c r="K44" s="23">
        <f t="shared" si="11"/>
        <v>64.599999999999994</v>
      </c>
    </row>
    <row r="45" spans="1:11" s="39" customFormat="1" ht="24.95" customHeight="1">
      <c r="A45" s="85" t="s">
        <v>45</v>
      </c>
      <c r="B45" s="89" t="s">
        <v>46</v>
      </c>
      <c r="C45" s="17" t="s">
        <v>17</v>
      </c>
      <c r="D45" s="30"/>
      <c r="E45" s="30">
        <f>SUM(E46:E47)</f>
        <v>606.20000000000005</v>
      </c>
      <c r="F45" s="30"/>
      <c r="G45" s="30"/>
      <c r="H45" s="30"/>
      <c r="I45" s="30"/>
      <c r="J45" s="30"/>
      <c r="K45" s="23">
        <f t="shared" si="11"/>
        <v>606.20000000000005</v>
      </c>
    </row>
    <row r="46" spans="1:11" s="39" customFormat="1" ht="30.4" customHeight="1">
      <c r="A46" s="85"/>
      <c r="B46" s="89"/>
      <c r="C46" s="22" t="s">
        <v>19</v>
      </c>
      <c r="D46" s="30"/>
      <c r="E46" s="30">
        <v>600</v>
      </c>
      <c r="F46" s="30"/>
      <c r="G46" s="30"/>
      <c r="H46" s="30"/>
      <c r="I46" s="30"/>
      <c r="J46" s="30"/>
      <c r="K46" s="23">
        <f t="shared" si="11"/>
        <v>600</v>
      </c>
    </row>
    <row r="47" spans="1:11" s="39" customFormat="1" ht="46.9" customHeight="1">
      <c r="A47" s="85"/>
      <c r="B47" s="89"/>
      <c r="C47" s="42" t="s">
        <v>20</v>
      </c>
      <c r="D47" s="30"/>
      <c r="E47" s="30">
        <v>6.2</v>
      </c>
      <c r="F47" s="30"/>
      <c r="G47" s="30"/>
      <c r="H47" s="30"/>
      <c r="I47" s="30"/>
      <c r="J47" s="30"/>
      <c r="K47" s="23">
        <f t="shared" si="11"/>
        <v>6.2</v>
      </c>
    </row>
    <row r="48" spans="1:11" s="39" customFormat="1" ht="200.85" customHeight="1">
      <c r="A48" s="81" t="s">
        <v>47</v>
      </c>
      <c r="B48" s="90" t="s">
        <v>48</v>
      </c>
      <c r="C48" s="17" t="s">
        <v>17</v>
      </c>
      <c r="D48" s="30"/>
      <c r="E48" s="30"/>
      <c r="F48" s="30">
        <f>SUM(F49:F50)</f>
        <v>303.10000000000002</v>
      </c>
      <c r="G48" s="30">
        <f>SUM(G49:G50)</f>
        <v>606.20000000000005</v>
      </c>
      <c r="H48" s="30">
        <f>SUM(H49:H50)</f>
        <v>0</v>
      </c>
      <c r="I48" s="30">
        <f>SUM(I49:I50)</f>
        <v>0</v>
      </c>
      <c r="J48" s="30">
        <f>SUM(J49:J50)</f>
        <v>0</v>
      </c>
      <c r="K48" s="23">
        <f t="shared" si="11"/>
        <v>909.30000000000007</v>
      </c>
    </row>
    <row r="49" spans="1:11" s="39" customFormat="1" ht="32.450000000000003" customHeight="1">
      <c r="A49" s="81"/>
      <c r="B49" s="90"/>
      <c r="C49" s="22" t="s">
        <v>19</v>
      </c>
      <c r="D49" s="30"/>
      <c r="E49" s="30"/>
      <c r="F49" s="30">
        <v>300</v>
      </c>
      <c r="G49" s="30">
        <v>600</v>
      </c>
      <c r="H49" s="30">
        <v>0</v>
      </c>
      <c r="I49" s="30">
        <v>0</v>
      </c>
      <c r="J49" s="30">
        <v>0</v>
      </c>
      <c r="K49" s="23">
        <f t="shared" si="11"/>
        <v>900</v>
      </c>
    </row>
    <row r="50" spans="1:11" s="39" customFormat="1" ht="60.2" customHeight="1">
      <c r="A50" s="81"/>
      <c r="B50" s="90"/>
      <c r="C50" s="42" t="s">
        <v>20</v>
      </c>
      <c r="D50" s="30"/>
      <c r="E50" s="30"/>
      <c r="F50" s="30">
        <v>3.1</v>
      </c>
      <c r="G50" s="30">
        <v>6.2</v>
      </c>
      <c r="H50" s="30">
        <v>0</v>
      </c>
      <c r="I50" s="30">
        <v>0</v>
      </c>
      <c r="J50" s="30">
        <v>0</v>
      </c>
      <c r="K50" s="23">
        <f t="shared" si="11"/>
        <v>9.3000000000000007</v>
      </c>
    </row>
    <row r="51" spans="1:11" s="39" customFormat="1" ht="34.9" customHeight="1">
      <c r="A51" s="83" t="s">
        <v>49</v>
      </c>
      <c r="B51" s="79" t="s">
        <v>50</v>
      </c>
      <c r="C51" s="33" t="s">
        <v>17</v>
      </c>
      <c r="D51" s="30">
        <v>0</v>
      </c>
      <c r="E51" s="30">
        <f>SUM(E52)</f>
        <v>40.5</v>
      </c>
      <c r="F51" s="30">
        <v>0</v>
      </c>
      <c r="G51" s="30">
        <v>0</v>
      </c>
      <c r="H51" s="30">
        <v>0</v>
      </c>
      <c r="I51" s="30">
        <v>0</v>
      </c>
      <c r="J51" s="30"/>
      <c r="K51" s="23">
        <f t="shared" si="11"/>
        <v>40.5</v>
      </c>
    </row>
    <row r="52" spans="1:11" s="39" customFormat="1" ht="34.9" customHeight="1">
      <c r="A52" s="83"/>
      <c r="B52" s="79"/>
      <c r="C52" s="32" t="s">
        <v>19</v>
      </c>
      <c r="D52" s="30">
        <v>0</v>
      </c>
      <c r="E52" s="30">
        <f>35.2+5.3</f>
        <v>40.5</v>
      </c>
      <c r="F52" s="30">
        <v>0</v>
      </c>
      <c r="G52" s="30">
        <v>0</v>
      </c>
      <c r="H52" s="30">
        <v>0</v>
      </c>
      <c r="I52" s="30">
        <v>0</v>
      </c>
      <c r="J52" s="30"/>
      <c r="K52" s="23">
        <f t="shared" si="11"/>
        <v>40.5</v>
      </c>
    </row>
    <row r="53" spans="1:11" s="39" customFormat="1" ht="22.9" customHeight="1">
      <c r="A53" s="83" t="s">
        <v>51</v>
      </c>
      <c r="B53" s="88" t="s">
        <v>52</v>
      </c>
      <c r="C53" s="17" t="s">
        <v>17</v>
      </c>
      <c r="D53" s="30"/>
      <c r="E53" s="30">
        <f t="shared" ref="E53:J53" si="13">SUM(E54:E56)</f>
        <v>245</v>
      </c>
      <c r="F53" s="23">
        <f t="shared" si="13"/>
        <v>775.15199999999993</v>
      </c>
      <c r="G53" s="23">
        <f t="shared" si="13"/>
        <v>762.5</v>
      </c>
      <c r="H53" s="23">
        <f t="shared" si="13"/>
        <v>765.00000000000011</v>
      </c>
      <c r="I53" s="23">
        <f t="shared" si="13"/>
        <v>776.69999999999993</v>
      </c>
      <c r="J53" s="23">
        <f t="shared" si="13"/>
        <v>790.80000000000007</v>
      </c>
      <c r="K53" s="23">
        <f t="shared" si="11"/>
        <v>4115.152</v>
      </c>
    </row>
    <row r="54" spans="1:11" s="39" customFormat="1" ht="22.9" customHeight="1">
      <c r="A54" s="83"/>
      <c r="B54" s="88"/>
      <c r="C54" s="22" t="s">
        <v>18</v>
      </c>
      <c r="D54" s="30"/>
      <c r="E54" s="30">
        <v>240.07</v>
      </c>
      <c r="F54" s="23">
        <v>759.69299999999998</v>
      </c>
      <c r="G54" s="23">
        <v>747.3</v>
      </c>
      <c r="H54" s="23">
        <v>749.65200000000004</v>
      </c>
      <c r="I54" s="23">
        <v>761.13199999999995</v>
      </c>
      <c r="J54" s="23">
        <v>767.07</v>
      </c>
      <c r="K54" s="23">
        <f t="shared" si="11"/>
        <v>4024.9170000000004</v>
      </c>
    </row>
    <row r="55" spans="1:11" s="39" customFormat="1" ht="21" customHeight="1">
      <c r="A55" s="83"/>
      <c r="B55" s="88"/>
      <c r="C55" s="22" t="s">
        <v>19</v>
      </c>
      <c r="D55" s="30"/>
      <c r="E55" s="30">
        <v>2.4300000000000002</v>
      </c>
      <c r="F55" s="23">
        <v>7.7069999999999999</v>
      </c>
      <c r="G55" s="23">
        <v>7.6</v>
      </c>
      <c r="H55" s="23">
        <v>7.6479999999999997</v>
      </c>
      <c r="I55" s="23">
        <v>7.7679999999999998</v>
      </c>
      <c r="J55" s="23">
        <v>15.73</v>
      </c>
      <c r="K55" s="23">
        <f t="shared" si="11"/>
        <v>48.882999999999996</v>
      </c>
    </row>
    <row r="56" spans="1:11" s="39" customFormat="1" ht="21.95" customHeight="1">
      <c r="A56" s="83"/>
      <c r="B56" s="88"/>
      <c r="C56" s="42" t="s">
        <v>20</v>
      </c>
      <c r="D56" s="30"/>
      <c r="E56" s="30">
        <v>2.5</v>
      </c>
      <c r="F56" s="23">
        <v>7.7519999999999998</v>
      </c>
      <c r="G56" s="23">
        <v>7.6</v>
      </c>
      <c r="H56" s="23">
        <v>7.7</v>
      </c>
      <c r="I56" s="23">
        <v>7.8</v>
      </c>
      <c r="J56" s="23">
        <v>8</v>
      </c>
      <c r="K56" s="23">
        <f t="shared" si="11"/>
        <v>41.351999999999997</v>
      </c>
    </row>
    <row r="57" spans="1:11" s="39" customFormat="1" ht="35.25" customHeight="1">
      <c r="A57" s="85" t="s">
        <v>53</v>
      </c>
      <c r="B57" s="86" t="s">
        <v>54</v>
      </c>
      <c r="C57" s="33" t="s">
        <v>17</v>
      </c>
      <c r="D57" s="30"/>
      <c r="E57" s="30"/>
      <c r="F57" s="23"/>
      <c r="G57" s="23">
        <f>G58</f>
        <v>119.80000000000001</v>
      </c>
      <c r="H57" s="23">
        <f>H58</f>
        <v>360</v>
      </c>
      <c r="I57" s="23">
        <f>I58</f>
        <v>360</v>
      </c>
      <c r="J57" s="23">
        <f>J58</f>
        <v>360</v>
      </c>
      <c r="K57" s="23">
        <f t="shared" si="11"/>
        <v>1199.8</v>
      </c>
    </row>
    <row r="58" spans="1:11" s="39" customFormat="1" ht="52.35" customHeight="1">
      <c r="A58" s="85"/>
      <c r="B58" s="86"/>
      <c r="C58" s="32" t="s">
        <v>18</v>
      </c>
      <c r="D58" s="30"/>
      <c r="E58" s="30"/>
      <c r="F58" s="23"/>
      <c r="G58" s="23">
        <f>149.9-30.1</f>
        <v>119.80000000000001</v>
      </c>
      <c r="H58" s="23">
        <v>360</v>
      </c>
      <c r="I58" s="23">
        <v>360</v>
      </c>
      <c r="J58" s="23">
        <v>360</v>
      </c>
      <c r="K58" s="23">
        <f t="shared" si="11"/>
        <v>1199.8</v>
      </c>
    </row>
    <row r="59" spans="1:11" s="39" customFormat="1" ht="22.9" customHeight="1">
      <c r="A59" s="85" t="s">
        <v>55</v>
      </c>
      <c r="B59" s="86" t="s">
        <v>56</v>
      </c>
      <c r="C59" s="17" t="s">
        <v>17</v>
      </c>
      <c r="D59" s="30"/>
      <c r="E59" s="30"/>
      <c r="F59" s="23">
        <f>F60</f>
        <v>43.599999999999994</v>
      </c>
      <c r="G59" s="23">
        <f>G60</f>
        <v>116.39999999999999</v>
      </c>
      <c r="H59" s="23">
        <f>H60</f>
        <v>116.4</v>
      </c>
      <c r="I59" s="23">
        <f>I60</f>
        <v>0</v>
      </c>
      <c r="J59" s="23">
        <f>J60</f>
        <v>0</v>
      </c>
      <c r="K59" s="23">
        <f t="shared" si="11"/>
        <v>276.39999999999998</v>
      </c>
    </row>
    <row r="60" spans="1:11" s="39" customFormat="1" ht="27.4" customHeight="1">
      <c r="A60" s="85"/>
      <c r="B60" s="86"/>
      <c r="C60" s="22" t="s">
        <v>19</v>
      </c>
      <c r="D60" s="30"/>
      <c r="E60" s="30"/>
      <c r="F60" s="23">
        <f>26.9+43.2-26.5</f>
        <v>43.599999999999994</v>
      </c>
      <c r="G60" s="23">
        <f>41.6+44.5+24.8+5.5</f>
        <v>116.39999999999999</v>
      </c>
      <c r="H60" s="23">
        <v>116.4</v>
      </c>
      <c r="I60" s="23">
        <v>0</v>
      </c>
      <c r="J60" s="23">
        <v>0</v>
      </c>
      <c r="K60" s="23">
        <f t="shared" si="11"/>
        <v>276.39999999999998</v>
      </c>
    </row>
    <row r="61" spans="1:11" s="39" customFormat="1" ht="69.400000000000006" customHeight="1">
      <c r="A61" s="85" t="s">
        <v>57</v>
      </c>
      <c r="B61" s="86" t="s">
        <v>58</v>
      </c>
      <c r="C61" s="17" t="s">
        <v>17</v>
      </c>
      <c r="D61" s="30"/>
      <c r="E61" s="30"/>
      <c r="F61" s="23"/>
      <c r="G61" s="23">
        <f>G62</f>
        <v>57.100000000000009</v>
      </c>
      <c r="H61" s="23">
        <f>H62</f>
        <v>123</v>
      </c>
      <c r="I61" s="23">
        <f>I62</f>
        <v>123</v>
      </c>
      <c r="J61" s="23">
        <f>J62</f>
        <v>123</v>
      </c>
      <c r="K61" s="23">
        <f t="shared" si="11"/>
        <v>426.1</v>
      </c>
    </row>
    <row r="62" spans="1:11" s="39" customFormat="1" ht="105.95" customHeight="1">
      <c r="A62" s="85"/>
      <c r="B62" s="86"/>
      <c r="C62" s="22" t="s">
        <v>19</v>
      </c>
      <c r="D62" s="30"/>
      <c r="E62" s="30"/>
      <c r="F62" s="23"/>
      <c r="G62" s="23">
        <f>177.3-120.2</f>
        <v>57.100000000000009</v>
      </c>
      <c r="H62" s="23">
        <v>123</v>
      </c>
      <c r="I62" s="23">
        <v>123</v>
      </c>
      <c r="J62" s="23">
        <v>123</v>
      </c>
      <c r="K62" s="23">
        <f t="shared" si="11"/>
        <v>426.1</v>
      </c>
    </row>
    <row r="63" spans="1:11" s="39" customFormat="1" ht="25.5" customHeight="1">
      <c r="A63" s="81" t="s">
        <v>59</v>
      </c>
      <c r="B63" s="87" t="s">
        <v>60</v>
      </c>
      <c r="C63" s="17" t="s">
        <v>17</v>
      </c>
      <c r="D63" s="43"/>
      <c r="E63" s="30"/>
      <c r="F63" s="30"/>
      <c r="G63" s="30"/>
      <c r="H63" s="30"/>
      <c r="I63" s="30"/>
      <c r="J63" s="30">
        <f>SUM(J64:J66)</f>
        <v>58744.1</v>
      </c>
      <c r="K63" s="23">
        <f t="shared" si="11"/>
        <v>58744.1</v>
      </c>
    </row>
    <row r="64" spans="1:11" s="39" customFormat="1" ht="28.7" customHeight="1">
      <c r="A64" s="81"/>
      <c r="B64" s="87"/>
      <c r="C64" s="42" t="s">
        <v>22</v>
      </c>
      <c r="D64" s="43"/>
      <c r="E64" s="30"/>
      <c r="F64" s="30"/>
      <c r="G64" s="30"/>
      <c r="H64" s="30"/>
      <c r="I64" s="30"/>
      <c r="J64" s="30">
        <v>52922.400000000001</v>
      </c>
      <c r="K64" s="23">
        <f t="shared" si="11"/>
        <v>52922.400000000001</v>
      </c>
    </row>
    <row r="65" spans="1:11" s="39" customFormat="1" ht="24.6" customHeight="1">
      <c r="A65" s="81"/>
      <c r="B65" s="87"/>
      <c r="C65" s="31" t="s">
        <v>19</v>
      </c>
      <c r="D65" s="43"/>
      <c r="E65" s="30"/>
      <c r="F65" s="30"/>
      <c r="G65" s="30"/>
      <c r="H65" s="30"/>
      <c r="I65" s="30"/>
      <c r="J65" s="30">
        <v>5234.2</v>
      </c>
      <c r="K65" s="23">
        <f t="shared" si="11"/>
        <v>5234.2</v>
      </c>
    </row>
    <row r="66" spans="1:11" s="39" customFormat="1" ht="36.200000000000003" customHeight="1">
      <c r="A66" s="81"/>
      <c r="B66" s="87"/>
      <c r="C66" s="31" t="s">
        <v>20</v>
      </c>
      <c r="D66" s="43"/>
      <c r="E66" s="30"/>
      <c r="F66" s="30"/>
      <c r="G66" s="30"/>
      <c r="H66" s="30"/>
      <c r="I66" s="30"/>
      <c r="J66" s="30">
        <v>587.5</v>
      </c>
      <c r="K66" s="23">
        <f t="shared" si="11"/>
        <v>587.5</v>
      </c>
    </row>
    <row r="67" spans="1:11" s="21" customFormat="1" ht="19.350000000000001" customHeight="1">
      <c r="A67" s="83" t="s">
        <v>61</v>
      </c>
      <c r="B67" s="84" t="s">
        <v>62</v>
      </c>
      <c r="C67" s="17" t="s">
        <v>17</v>
      </c>
      <c r="D67" s="18">
        <f t="shared" ref="D67:J67" si="14">SUM(D68:D70)</f>
        <v>15341.509999999998</v>
      </c>
      <c r="E67" s="18">
        <f t="shared" si="14"/>
        <v>15539.4</v>
      </c>
      <c r="F67" s="28">
        <f t="shared" si="14"/>
        <v>17665.2</v>
      </c>
      <c r="G67" s="28">
        <f t="shared" si="14"/>
        <v>18323.900000000001</v>
      </c>
      <c r="H67" s="28">
        <f t="shared" si="14"/>
        <v>18687.599999999999</v>
      </c>
      <c r="I67" s="28">
        <f t="shared" si="14"/>
        <v>18554.5</v>
      </c>
      <c r="J67" s="28">
        <f t="shared" si="14"/>
        <v>18554.5</v>
      </c>
      <c r="K67" s="23">
        <f t="shared" si="11"/>
        <v>122666.61000000002</v>
      </c>
    </row>
    <row r="68" spans="1:11" s="21" customFormat="1" ht="23.45" customHeight="1">
      <c r="A68" s="83"/>
      <c r="B68" s="84"/>
      <c r="C68" s="22" t="s">
        <v>18</v>
      </c>
      <c r="D68" s="30"/>
      <c r="E68" s="30"/>
      <c r="F68" s="30"/>
      <c r="G68" s="30"/>
      <c r="H68" s="30"/>
      <c r="I68" s="30"/>
      <c r="J68" s="30"/>
      <c r="K68" s="23">
        <f t="shared" si="11"/>
        <v>0</v>
      </c>
    </row>
    <row r="69" spans="1:11" s="27" customFormat="1" ht="24.95" customHeight="1">
      <c r="A69" s="83"/>
      <c r="B69" s="84"/>
      <c r="C69" s="22" t="s">
        <v>19</v>
      </c>
      <c r="D69" s="30">
        <v>5825.7</v>
      </c>
      <c r="E69" s="30">
        <f>4000+67+918.1+338.5</f>
        <v>5323.6</v>
      </c>
      <c r="F69" s="30">
        <f>5000+1690.5+327.8+500</f>
        <v>7518.3</v>
      </c>
      <c r="G69" s="30">
        <f>10000+736.2+70.1+237.9+500</f>
        <v>11544.2</v>
      </c>
      <c r="H69" s="30">
        <v>10000</v>
      </c>
      <c r="I69" s="30">
        <v>10000</v>
      </c>
      <c r="J69" s="30">
        <v>10000</v>
      </c>
      <c r="K69" s="23">
        <f t="shared" si="11"/>
        <v>60211.8</v>
      </c>
    </row>
    <row r="70" spans="1:11" s="7" customFormat="1">
      <c r="A70" s="83"/>
      <c r="B70" s="84"/>
      <c r="C70" s="42" t="s">
        <v>20</v>
      </c>
      <c r="D70" s="23">
        <v>9515.81</v>
      </c>
      <c r="E70" s="23">
        <f>10370.3+30.1-41+117-270.7+10.1</f>
        <v>10215.799999999999</v>
      </c>
      <c r="F70" s="30">
        <f>10157+17.5+66.2-61.5-2.4-29.9</f>
        <v>10146.900000000001</v>
      </c>
      <c r="G70" s="30">
        <f>6372.1+34.6+107.8+19+109.4+140.6+6.3-10.1</f>
        <v>6779.7000000000007</v>
      </c>
      <c r="H70" s="30">
        <v>8687.6</v>
      </c>
      <c r="I70" s="30">
        <v>8554.5</v>
      </c>
      <c r="J70" s="30">
        <v>8554.5</v>
      </c>
      <c r="K70" s="23">
        <f t="shared" si="11"/>
        <v>62454.810000000005</v>
      </c>
    </row>
    <row r="71" spans="1:11" s="7" customFormat="1" ht="32.65" customHeight="1">
      <c r="A71" s="83" t="s">
        <v>63</v>
      </c>
      <c r="B71" s="79" t="s">
        <v>64</v>
      </c>
      <c r="C71" s="42" t="s">
        <v>17</v>
      </c>
      <c r="D71" s="28">
        <f t="shared" ref="D71:J71" si="15">SUM(D72)</f>
        <v>570.9</v>
      </c>
      <c r="E71" s="28">
        <f t="shared" si="15"/>
        <v>610.20000000000005</v>
      </c>
      <c r="F71" s="28">
        <f t="shared" si="15"/>
        <v>670.40000000000009</v>
      </c>
      <c r="G71" s="28">
        <f t="shared" si="15"/>
        <v>389.89999999999992</v>
      </c>
      <c r="H71" s="28">
        <f t="shared" si="15"/>
        <v>0</v>
      </c>
      <c r="I71" s="28">
        <f t="shared" si="15"/>
        <v>0</v>
      </c>
      <c r="J71" s="28">
        <f t="shared" si="15"/>
        <v>0</v>
      </c>
      <c r="K71" s="23">
        <f t="shared" si="11"/>
        <v>2241.4</v>
      </c>
    </row>
    <row r="72" spans="1:11" s="7" customFormat="1" ht="30.4" customHeight="1">
      <c r="A72" s="83"/>
      <c r="B72" s="79"/>
      <c r="C72" s="42" t="s">
        <v>20</v>
      </c>
      <c r="D72" s="30">
        <v>570.9</v>
      </c>
      <c r="E72" s="30">
        <f>1184-390-183.8</f>
        <v>610.20000000000005</v>
      </c>
      <c r="F72" s="30">
        <f>1340.4-670</f>
        <v>670.40000000000009</v>
      </c>
      <c r="G72" s="30">
        <f>1397.3-999.2-8.2</f>
        <v>389.89999999999992</v>
      </c>
      <c r="H72" s="30">
        <v>0</v>
      </c>
      <c r="I72" s="30">
        <v>0</v>
      </c>
      <c r="J72" s="30">
        <v>0</v>
      </c>
      <c r="K72" s="23">
        <f t="shared" si="11"/>
        <v>2241.4</v>
      </c>
    </row>
    <row r="73" spans="1:11" s="7" customFormat="1" ht="34.9" customHeight="1">
      <c r="A73" s="83" t="s">
        <v>65</v>
      </c>
      <c r="B73" s="84" t="s">
        <v>66</v>
      </c>
      <c r="C73" s="17" t="s">
        <v>17</v>
      </c>
      <c r="D73" s="18">
        <f t="shared" ref="D73:I73" si="16">SUM(D74:D76)</f>
        <v>1128.9630000000002</v>
      </c>
      <c r="E73" s="18">
        <f t="shared" si="16"/>
        <v>0</v>
      </c>
      <c r="F73" s="28">
        <f t="shared" si="16"/>
        <v>0</v>
      </c>
      <c r="G73" s="28">
        <f t="shared" si="16"/>
        <v>0</v>
      </c>
      <c r="H73" s="28">
        <f t="shared" si="16"/>
        <v>0</v>
      </c>
      <c r="I73" s="28">
        <f t="shared" si="16"/>
        <v>0</v>
      </c>
      <c r="J73" s="28"/>
      <c r="K73" s="23">
        <f t="shared" si="11"/>
        <v>1128.9630000000002</v>
      </c>
    </row>
    <row r="74" spans="1:11" s="7" customFormat="1" ht="36.200000000000003" customHeight="1">
      <c r="A74" s="83"/>
      <c r="B74" s="84"/>
      <c r="C74" s="22" t="s">
        <v>18</v>
      </c>
      <c r="D74" s="30"/>
      <c r="E74" s="30"/>
      <c r="F74" s="30"/>
      <c r="G74" s="30"/>
      <c r="H74" s="30"/>
      <c r="I74" s="30"/>
      <c r="J74" s="30"/>
      <c r="K74" s="23">
        <f t="shared" ref="K74:K105" si="17">SUM(D74:J74)</f>
        <v>0</v>
      </c>
    </row>
    <row r="75" spans="1:11" s="7" customFormat="1" ht="37.35" customHeight="1">
      <c r="A75" s="83"/>
      <c r="B75" s="84"/>
      <c r="C75" s="22" t="s">
        <v>19</v>
      </c>
      <c r="D75" s="23">
        <v>730.86300000000006</v>
      </c>
      <c r="E75" s="30">
        <v>0</v>
      </c>
      <c r="F75" s="30">
        <v>0</v>
      </c>
      <c r="G75" s="30">
        <v>0</v>
      </c>
      <c r="H75" s="30">
        <v>0</v>
      </c>
      <c r="I75" s="30">
        <v>0</v>
      </c>
      <c r="J75" s="30"/>
      <c r="K75" s="23">
        <f t="shared" si="17"/>
        <v>730.86300000000006</v>
      </c>
    </row>
    <row r="76" spans="1:11" s="7" customFormat="1" ht="27.75" customHeight="1">
      <c r="A76" s="83"/>
      <c r="B76" s="84"/>
      <c r="C76" s="31" t="s">
        <v>20</v>
      </c>
      <c r="D76" s="43">
        <v>398.1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/>
      <c r="K76" s="23">
        <f t="shared" si="17"/>
        <v>398.1</v>
      </c>
    </row>
    <row r="77" spans="1:11" s="7" customFormat="1" ht="31.5" customHeight="1">
      <c r="A77" s="83" t="s">
        <v>67</v>
      </c>
      <c r="B77" s="79" t="s">
        <v>68</v>
      </c>
      <c r="C77" s="17" t="s">
        <v>17</v>
      </c>
      <c r="D77" s="43"/>
      <c r="E77" s="28">
        <f t="shared" ref="E77:J77" si="18">SUM(E78)</f>
        <v>500</v>
      </c>
      <c r="F77" s="28">
        <f t="shared" si="18"/>
        <v>750</v>
      </c>
      <c r="G77" s="28">
        <f t="shared" si="18"/>
        <v>0</v>
      </c>
      <c r="H77" s="28">
        <f t="shared" si="18"/>
        <v>0</v>
      </c>
      <c r="I77" s="28">
        <f t="shared" si="18"/>
        <v>0</v>
      </c>
      <c r="J77" s="28">
        <f t="shared" si="18"/>
        <v>0</v>
      </c>
      <c r="K77" s="23">
        <f t="shared" si="17"/>
        <v>1250</v>
      </c>
    </row>
    <row r="78" spans="1:11" s="7" customFormat="1" ht="20.100000000000001" customHeight="1">
      <c r="A78" s="83"/>
      <c r="B78" s="79"/>
      <c r="C78" s="42" t="s">
        <v>23</v>
      </c>
      <c r="D78" s="43"/>
      <c r="E78" s="30">
        <v>500</v>
      </c>
      <c r="F78" s="30">
        <v>750</v>
      </c>
      <c r="G78" s="30"/>
      <c r="H78" s="30"/>
      <c r="I78" s="30"/>
      <c r="J78" s="30"/>
      <c r="K78" s="23">
        <f t="shared" si="17"/>
        <v>1250</v>
      </c>
    </row>
    <row r="79" spans="1:11" s="7" customFormat="1" ht="20.100000000000001" customHeight="1">
      <c r="A79" s="81"/>
      <c r="B79" s="79" t="s">
        <v>69</v>
      </c>
      <c r="C79" s="17" t="s">
        <v>17</v>
      </c>
      <c r="D79" s="43"/>
      <c r="E79" s="30"/>
      <c r="F79" s="30"/>
      <c r="G79" s="28">
        <f>G80</f>
        <v>750</v>
      </c>
      <c r="H79" s="28">
        <f>H80</f>
        <v>0</v>
      </c>
      <c r="I79" s="28">
        <f>I80</f>
        <v>0</v>
      </c>
      <c r="J79" s="28">
        <f>J80</f>
        <v>0</v>
      </c>
      <c r="K79" s="23">
        <f t="shared" si="17"/>
        <v>750</v>
      </c>
    </row>
    <row r="80" spans="1:11" s="7" customFormat="1" ht="20.100000000000001" customHeight="1">
      <c r="A80" s="81"/>
      <c r="B80" s="79"/>
      <c r="C80" s="42" t="s">
        <v>23</v>
      </c>
      <c r="D80" s="43"/>
      <c r="E80" s="30"/>
      <c r="F80" s="30"/>
      <c r="G80" s="30">
        <v>750</v>
      </c>
      <c r="H80" s="30">
        <v>0</v>
      </c>
      <c r="I80" s="30">
        <v>0</v>
      </c>
      <c r="J80" s="30">
        <v>0</v>
      </c>
      <c r="K80" s="23">
        <f t="shared" si="17"/>
        <v>750</v>
      </c>
    </row>
    <row r="81" spans="1:11" s="7" customFormat="1" ht="54.6" customHeight="1">
      <c r="A81" s="81" t="s">
        <v>70</v>
      </c>
      <c r="B81" s="82" t="s">
        <v>71</v>
      </c>
      <c r="C81" s="17" t="s">
        <v>17</v>
      </c>
      <c r="D81" s="43"/>
      <c r="E81" s="30"/>
      <c r="F81" s="30">
        <f>SUM(F82:F83)</f>
        <v>4214.2000000000007</v>
      </c>
      <c r="G81" s="30"/>
      <c r="H81" s="30">
        <f>SUM(H82:H83)</f>
        <v>0</v>
      </c>
      <c r="I81" s="30">
        <f>SUM(I82:I83)</f>
        <v>0</v>
      </c>
      <c r="J81" s="30"/>
      <c r="K81" s="23">
        <f t="shared" si="17"/>
        <v>4214.2000000000007</v>
      </c>
    </row>
    <row r="82" spans="1:11" s="7" customFormat="1" ht="30.2" customHeight="1">
      <c r="A82" s="81"/>
      <c r="B82" s="82"/>
      <c r="C82" s="22" t="s">
        <v>19</v>
      </c>
      <c r="D82" s="43"/>
      <c r="E82" s="30"/>
      <c r="F82" s="30">
        <v>4171.6000000000004</v>
      </c>
      <c r="G82" s="30"/>
      <c r="H82" s="30"/>
      <c r="I82" s="30"/>
      <c r="J82" s="30"/>
      <c r="K82" s="23">
        <f t="shared" si="17"/>
        <v>4171.6000000000004</v>
      </c>
    </row>
    <row r="83" spans="1:11" s="7" customFormat="1" ht="52.9" customHeight="1">
      <c r="A83" s="81"/>
      <c r="B83" s="82"/>
      <c r="C83" s="42" t="s">
        <v>20</v>
      </c>
      <c r="D83" s="43"/>
      <c r="E83" s="30"/>
      <c r="F83" s="30">
        <f>42.4+0.2</f>
        <v>42.6</v>
      </c>
      <c r="G83" s="30"/>
      <c r="H83" s="30"/>
      <c r="I83" s="30"/>
      <c r="J83" s="30"/>
      <c r="K83" s="23">
        <f t="shared" si="17"/>
        <v>42.6</v>
      </c>
    </row>
    <row r="84" spans="1:11" s="7" customFormat="1" ht="23.65" customHeight="1">
      <c r="A84" s="81"/>
      <c r="B84" s="82" t="s">
        <v>72</v>
      </c>
      <c r="C84" s="17" t="s">
        <v>17</v>
      </c>
      <c r="D84" s="43"/>
      <c r="E84" s="30"/>
      <c r="F84" s="30"/>
      <c r="G84" s="30">
        <f>SUM(G85:G86)</f>
        <v>3826.1</v>
      </c>
      <c r="H84" s="30">
        <f>SUM(H85:H86)</f>
        <v>0</v>
      </c>
      <c r="I84" s="30">
        <f>SUM(I85:I86)</f>
        <v>0</v>
      </c>
      <c r="J84" s="30"/>
      <c r="K84" s="23">
        <f t="shared" si="17"/>
        <v>3826.1</v>
      </c>
    </row>
    <row r="85" spans="1:11" s="7" customFormat="1" ht="26.1" customHeight="1">
      <c r="A85" s="81"/>
      <c r="B85" s="82"/>
      <c r="C85" s="22" t="s">
        <v>19</v>
      </c>
      <c r="D85" s="43"/>
      <c r="E85" s="30"/>
      <c r="F85" s="30"/>
      <c r="G85" s="30">
        <v>3787.7</v>
      </c>
      <c r="H85" s="30"/>
      <c r="I85" s="30"/>
      <c r="J85" s="30"/>
      <c r="K85" s="23">
        <f t="shared" si="17"/>
        <v>3787.7</v>
      </c>
    </row>
    <row r="86" spans="1:11" s="7" customFormat="1" ht="51" customHeight="1">
      <c r="A86" s="81"/>
      <c r="B86" s="82"/>
      <c r="C86" s="42" t="s">
        <v>20</v>
      </c>
      <c r="D86" s="43"/>
      <c r="E86" s="30"/>
      <c r="F86" s="30"/>
      <c r="G86" s="30">
        <v>38.4</v>
      </c>
      <c r="H86" s="30"/>
      <c r="I86" s="30"/>
      <c r="J86" s="30"/>
      <c r="K86" s="23">
        <f t="shared" si="17"/>
        <v>38.4</v>
      </c>
    </row>
    <row r="87" spans="1:11" s="21" customFormat="1" ht="27.75" customHeight="1">
      <c r="A87" s="56" t="s">
        <v>73</v>
      </c>
      <c r="B87" s="57" t="s">
        <v>74</v>
      </c>
      <c r="C87" s="17" t="s">
        <v>17</v>
      </c>
      <c r="D87" s="28">
        <f t="shared" ref="D87:J87" si="19">SUM(D88:D90)</f>
        <v>9321</v>
      </c>
      <c r="E87" s="28">
        <f t="shared" si="19"/>
        <v>10259</v>
      </c>
      <c r="F87" s="28">
        <f t="shared" si="19"/>
        <v>10462</v>
      </c>
      <c r="G87" s="28">
        <f t="shared" si="19"/>
        <v>10830</v>
      </c>
      <c r="H87" s="28">
        <f t="shared" si="19"/>
        <v>11672</v>
      </c>
      <c r="I87" s="28">
        <f t="shared" si="19"/>
        <v>12357</v>
      </c>
      <c r="J87" s="28">
        <f t="shared" si="19"/>
        <v>12936</v>
      </c>
      <c r="K87" s="23">
        <f t="shared" si="17"/>
        <v>77837</v>
      </c>
    </row>
    <row r="88" spans="1:11" s="21" customFormat="1">
      <c r="A88" s="56"/>
      <c r="B88" s="57"/>
      <c r="C88" s="42" t="s">
        <v>22</v>
      </c>
      <c r="D88" s="30"/>
      <c r="E88" s="30"/>
      <c r="F88" s="30"/>
      <c r="G88" s="30"/>
      <c r="H88" s="30"/>
      <c r="I88" s="30"/>
      <c r="J88" s="30"/>
      <c r="K88" s="23">
        <f t="shared" si="17"/>
        <v>0</v>
      </c>
    </row>
    <row r="89" spans="1:11" s="21" customFormat="1">
      <c r="A89" s="56"/>
      <c r="B89" s="57"/>
      <c r="C89" s="31" t="s">
        <v>19</v>
      </c>
      <c r="D89" s="30">
        <v>9286</v>
      </c>
      <c r="E89" s="30">
        <f>10009+76+134</f>
        <v>10219</v>
      </c>
      <c r="F89" s="30">
        <v>10412</v>
      </c>
      <c r="G89" s="30">
        <v>10765</v>
      </c>
      <c r="H89" s="30">
        <v>11622</v>
      </c>
      <c r="I89" s="30">
        <v>12307</v>
      </c>
      <c r="J89" s="30">
        <v>12886</v>
      </c>
      <c r="K89" s="23">
        <f t="shared" si="17"/>
        <v>77497</v>
      </c>
    </row>
    <row r="90" spans="1:11" s="27" customFormat="1">
      <c r="A90" s="56"/>
      <c r="B90" s="57"/>
      <c r="C90" s="31" t="s">
        <v>20</v>
      </c>
      <c r="D90" s="45">
        <v>35</v>
      </c>
      <c r="E90" s="45">
        <v>40</v>
      </c>
      <c r="F90" s="45">
        <v>50</v>
      </c>
      <c r="G90" s="45">
        <f>50+15</f>
        <v>65</v>
      </c>
      <c r="H90" s="45">
        <v>50</v>
      </c>
      <c r="I90" s="45">
        <v>50</v>
      </c>
      <c r="J90" s="45">
        <v>50</v>
      </c>
      <c r="K90" s="23">
        <f t="shared" si="17"/>
        <v>340</v>
      </c>
    </row>
    <row r="91" spans="1:11" s="21" customFormat="1" ht="25.35" customHeight="1">
      <c r="A91" s="56" t="s">
        <v>75</v>
      </c>
      <c r="B91" s="80" t="s">
        <v>76</v>
      </c>
      <c r="C91" s="17" t="s">
        <v>17</v>
      </c>
      <c r="D91" s="46">
        <f t="shared" ref="D91:J91" si="20">SUM(D92:D92)</f>
        <v>9286</v>
      </c>
      <c r="E91" s="46">
        <f t="shared" si="20"/>
        <v>10219</v>
      </c>
      <c r="F91" s="28">
        <f t="shared" si="20"/>
        <v>10412</v>
      </c>
      <c r="G91" s="28">
        <f t="shared" si="20"/>
        <v>10765</v>
      </c>
      <c r="H91" s="28">
        <f t="shared" si="20"/>
        <v>11622</v>
      </c>
      <c r="I91" s="28">
        <f t="shared" si="20"/>
        <v>12307</v>
      </c>
      <c r="J91" s="28">
        <f t="shared" si="20"/>
        <v>12886</v>
      </c>
      <c r="K91" s="23">
        <f t="shared" si="17"/>
        <v>77497</v>
      </c>
    </row>
    <row r="92" spans="1:11" s="27" customFormat="1" ht="37.35" customHeight="1">
      <c r="A92" s="56"/>
      <c r="B92" s="80"/>
      <c r="C92" s="22" t="s">
        <v>19</v>
      </c>
      <c r="D92" s="30">
        <v>9286</v>
      </c>
      <c r="E92" s="30">
        <f>10009+76+134</f>
        <v>10219</v>
      </c>
      <c r="F92" s="30">
        <v>10412</v>
      </c>
      <c r="G92" s="30">
        <v>10765</v>
      </c>
      <c r="H92" s="30">
        <v>11622</v>
      </c>
      <c r="I92" s="30">
        <v>12307</v>
      </c>
      <c r="J92" s="30">
        <v>12886</v>
      </c>
      <c r="K92" s="23">
        <f t="shared" si="17"/>
        <v>77497</v>
      </c>
    </row>
    <row r="93" spans="1:11" s="21" customFormat="1" ht="19.350000000000001" customHeight="1">
      <c r="A93" s="56" t="s">
        <v>77</v>
      </c>
      <c r="B93" s="57" t="s">
        <v>78</v>
      </c>
      <c r="C93" s="17" t="s">
        <v>17</v>
      </c>
      <c r="D93" s="18">
        <f t="shared" ref="D93:J93" si="21">SUM(D94:D96)</f>
        <v>512.72399999999993</v>
      </c>
      <c r="E93" s="18">
        <f t="shared" si="21"/>
        <v>584.50399999999991</v>
      </c>
      <c r="F93" s="28">
        <f t="shared" si="21"/>
        <v>686.48</v>
      </c>
      <c r="G93" s="28">
        <f t="shared" si="21"/>
        <v>632.9899999999999</v>
      </c>
      <c r="H93" s="28">
        <f t="shared" si="21"/>
        <v>0</v>
      </c>
      <c r="I93" s="28">
        <f t="shared" si="21"/>
        <v>0</v>
      </c>
      <c r="J93" s="28">
        <f t="shared" si="21"/>
        <v>0</v>
      </c>
      <c r="K93" s="23">
        <f t="shared" si="17"/>
        <v>2416.6979999999999</v>
      </c>
    </row>
    <row r="94" spans="1:11" s="21" customFormat="1" ht="22.7" customHeight="1">
      <c r="A94" s="56"/>
      <c r="B94" s="57"/>
      <c r="C94" s="22" t="s">
        <v>18</v>
      </c>
      <c r="D94" s="30"/>
      <c r="E94" s="30"/>
      <c r="F94" s="30"/>
      <c r="G94" s="30"/>
      <c r="H94" s="30"/>
      <c r="I94" s="30"/>
      <c r="J94" s="30"/>
      <c r="K94" s="23">
        <f t="shared" si="17"/>
        <v>0</v>
      </c>
    </row>
    <row r="95" spans="1:11" s="27" customFormat="1" ht="25.35" customHeight="1">
      <c r="A95" s="56"/>
      <c r="B95" s="57"/>
      <c r="C95" s="22" t="s">
        <v>19</v>
      </c>
      <c r="D95" s="30">
        <v>329.4</v>
      </c>
      <c r="E95" s="30">
        <v>346.9</v>
      </c>
      <c r="F95" s="30">
        <v>392.38</v>
      </c>
      <c r="G95" s="25">
        <f>396.64+125.17+0.01</f>
        <v>521.81999999999994</v>
      </c>
      <c r="H95" s="30"/>
      <c r="I95" s="30"/>
      <c r="J95" s="30"/>
      <c r="K95" s="23">
        <f t="shared" si="17"/>
        <v>1590.4999999999998</v>
      </c>
    </row>
    <row r="96" spans="1:11" s="27" customFormat="1" ht="39.6" customHeight="1">
      <c r="A96" s="56"/>
      <c r="B96" s="57"/>
      <c r="C96" s="22" t="s">
        <v>20</v>
      </c>
      <c r="D96" s="23">
        <v>183.32400000000001</v>
      </c>
      <c r="E96" s="23">
        <f>169.1+45.604+41-16.3-1.8</f>
        <v>237.60399999999998</v>
      </c>
      <c r="F96" s="30">
        <v>294.10000000000002</v>
      </c>
      <c r="G96" s="30">
        <f>209.5+1.17-152.8+53.3</f>
        <v>111.16999999999997</v>
      </c>
      <c r="H96" s="30"/>
      <c r="I96" s="30"/>
      <c r="J96" s="30"/>
      <c r="K96" s="23">
        <f t="shared" si="17"/>
        <v>826.19799999999998</v>
      </c>
    </row>
    <row r="97" spans="1:11" s="27" customFormat="1" ht="17.45" customHeight="1">
      <c r="A97" s="59"/>
      <c r="B97" s="57" t="s">
        <v>90</v>
      </c>
      <c r="C97" s="17" t="s">
        <v>17</v>
      </c>
      <c r="D97" s="18">
        <f t="shared" ref="D97:J97" si="22">SUM(D98:D100)</f>
        <v>0</v>
      </c>
      <c r="E97" s="18">
        <f t="shared" si="22"/>
        <v>0</v>
      </c>
      <c r="F97" s="28">
        <f t="shared" si="22"/>
        <v>0</v>
      </c>
      <c r="G97" s="28">
        <f t="shared" si="22"/>
        <v>0</v>
      </c>
      <c r="H97" s="28">
        <f t="shared" si="22"/>
        <v>643.29999999999995</v>
      </c>
      <c r="I97" s="28">
        <f t="shared" si="22"/>
        <v>643.29999999999995</v>
      </c>
      <c r="J97" s="28">
        <f t="shared" si="22"/>
        <v>643.29999999999995</v>
      </c>
      <c r="K97" s="23">
        <f t="shared" si="17"/>
        <v>1929.8999999999999</v>
      </c>
    </row>
    <row r="98" spans="1:11" s="27" customFormat="1">
      <c r="A98" s="59"/>
      <c r="B98" s="57"/>
      <c r="C98" s="22" t="s">
        <v>18</v>
      </c>
      <c r="D98" s="30"/>
      <c r="E98" s="30"/>
      <c r="F98" s="30"/>
      <c r="G98" s="30"/>
      <c r="H98" s="30"/>
      <c r="I98" s="30"/>
      <c r="J98" s="30"/>
      <c r="K98" s="23">
        <f t="shared" si="17"/>
        <v>0</v>
      </c>
    </row>
    <row r="99" spans="1:11" s="27" customFormat="1" ht="30" customHeight="1">
      <c r="A99" s="59"/>
      <c r="B99" s="57"/>
      <c r="C99" s="22" t="s">
        <v>19</v>
      </c>
      <c r="D99" s="30"/>
      <c r="E99" s="30"/>
      <c r="F99" s="30"/>
      <c r="G99" s="25"/>
      <c r="H99" s="30">
        <v>532</v>
      </c>
      <c r="I99" s="30">
        <v>532</v>
      </c>
      <c r="J99" s="30">
        <v>532</v>
      </c>
      <c r="K99" s="23">
        <f t="shared" si="17"/>
        <v>1596</v>
      </c>
    </row>
    <row r="100" spans="1:11" s="27" customFormat="1" ht="44.45" customHeight="1">
      <c r="A100" s="59"/>
      <c r="B100" s="57"/>
      <c r="C100" s="22" t="s">
        <v>20</v>
      </c>
      <c r="D100" s="23"/>
      <c r="E100" s="23"/>
      <c r="F100" s="30"/>
      <c r="G100" s="30"/>
      <c r="H100" s="30">
        <v>111.3</v>
      </c>
      <c r="I100" s="30">
        <v>111.3</v>
      </c>
      <c r="J100" s="30">
        <v>111.3</v>
      </c>
      <c r="K100" s="23">
        <f t="shared" si="17"/>
        <v>333.9</v>
      </c>
    </row>
    <row r="101" spans="1:11" s="21" customFormat="1" ht="20.25" customHeight="1">
      <c r="A101" s="76" t="s">
        <v>80</v>
      </c>
      <c r="B101" s="77" t="s">
        <v>81</v>
      </c>
      <c r="C101" s="17" t="s">
        <v>17</v>
      </c>
      <c r="D101" s="28">
        <f t="shared" ref="D101:J101" si="23">SUM(D102:D104)</f>
        <v>105.2</v>
      </c>
      <c r="E101" s="28">
        <f t="shared" si="23"/>
        <v>118.4</v>
      </c>
      <c r="F101" s="28">
        <f t="shared" si="23"/>
        <v>142.5</v>
      </c>
      <c r="G101" s="28">
        <f t="shared" si="23"/>
        <v>153.80000000000001</v>
      </c>
      <c r="H101" s="28">
        <f t="shared" si="23"/>
        <v>126.4</v>
      </c>
      <c r="I101" s="28">
        <f t="shared" si="23"/>
        <v>126.4</v>
      </c>
      <c r="J101" s="28">
        <f t="shared" si="23"/>
        <v>126.4</v>
      </c>
      <c r="K101" s="23">
        <f t="shared" si="17"/>
        <v>899.1</v>
      </c>
    </row>
    <row r="102" spans="1:11" s="21" customFormat="1">
      <c r="A102" s="76"/>
      <c r="B102" s="77"/>
      <c r="C102" s="42" t="s">
        <v>18</v>
      </c>
      <c r="D102" s="30"/>
      <c r="E102" s="30"/>
      <c r="F102" s="30"/>
      <c r="G102" s="30"/>
      <c r="H102" s="30"/>
      <c r="I102" s="30"/>
      <c r="J102" s="30"/>
      <c r="K102" s="23">
        <f t="shared" si="17"/>
        <v>0</v>
      </c>
    </row>
    <row r="103" spans="1:11" s="21" customFormat="1">
      <c r="A103" s="76"/>
      <c r="B103" s="77"/>
      <c r="C103" s="31" t="s">
        <v>19</v>
      </c>
      <c r="D103" s="35"/>
      <c r="E103" s="35"/>
      <c r="F103" s="35"/>
      <c r="G103" s="35"/>
      <c r="H103" s="35"/>
      <c r="I103" s="35"/>
      <c r="J103" s="35"/>
      <c r="K103" s="23">
        <f t="shared" si="17"/>
        <v>0</v>
      </c>
    </row>
    <row r="104" spans="1:11" s="27" customFormat="1" ht="35.450000000000003" customHeight="1">
      <c r="A104" s="76"/>
      <c r="B104" s="77"/>
      <c r="C104" s="31" t="s">
        <v>20</v>
      </c>
      <c r="D104" s="35">
        <v>105.2</v>
      </c>
      <c r="E104" s="35">
        <f>115.4+18.5-12.1-3.4</f>
        <v>118.4</v>
      </c>
      <c r="F104" s="35">
        <f>173.9-61.3+29.9</f>
        <v>142.5</v>
      </c>
      <c r="G104" s="35">
        <f>135.4+18.4</f>
        <v>153.80000000000001</v>
      </c>
      <c r="H104" s="35">
        <v>126.4</v>
      </c>
      <c r="I104" s="35">
        <v>126.4</v>
      </c>
      <c r="J104" s="35">
        <v>126.4</v>
      </c>
      <c r="K104" s="23">
        <f t="shared" si="17"/>
        <v>899.1</v>
      </c>
    </row>
    <row r="105" spans="1:11" s="27" customFormat="1" ht="22.9" customHeight="1">
      <c r="A105" s="78" t="s">
        <v>82</v>
      </c>
      <c r="B105" s="79" t="s">
        <v>69</v>
      </c>
      <c r="C105" s="17" t="s">
        <v>17</v>
      </c>
      <c r="D105" s="35"/>
      <c r="E105" s="35"/>
      <c r="F105" s="35"/>
      <c r="G105" s="35"/>
      <c r="H105" s="35">
        <f>H106</f>
        <v>800</v>
      </c>
      <c r="I105" s="35">
        <f>I106</f>
        <v>800</v>
      </c>
      <c r="J105" s="35">
        <f>J106</f>
        <v>800</v>
      </c>
      <c r="K105" s="23">
        <f t="shared" si="17"/>
        <v>2400</v>
      </c>
    </row>
    <row r="106" spans="1:11" s="27" customFormat="1" ht="30" customHeight="1">
      <c r="A106" s="78"/>
      <c r="B106" s="79"/>
      <c r="C106" s="42" t="s">
        <v>23</v>
      </c>
      <c r="D106" s="35"/>
      <c r="E106" s="35"/>
      <c r="F106" s="35"/>
      <c r="G106" s="35"/>
      <c r="H106" s="35">
        <v>800</v>
      </c>
      <c r="I106" s="35">
        <v>800</v>
      </c>
      <c r="J106" s="35">
        <v>800</v>
      </c>
      <c r="K106" s="23">
        <f t="shared" ref="K106:K116" si="24">SUM(D106:J106)</f>
        <v>2400</v>
      </c>
    </row>
    <row r="107" spans="1:11" s="21" customFormat="1" ht="26.25" customHeight="1">
      <c r="A107" s="56" t="s">
        <v>83</v>
      </c>
      <c r="B107" s="57" t="s">
        <v>84</v>
      </c>
      <c r="C107" s="17" t="s">
        <v>17</v>
      </c>
      <c r="D107" s="18">
        <f t="shared" ref="D107:J107" si="25">SUM(D108:D110)</f>
        <v>10935.29</v>
      </c>
      <c r="E107" s="28">
        <f t="shared" si="25"/>
        <v>11808.13</v>
      </c>
      <c r="F107" s="28">
        <f t="shared" si="25"/>
        <v>13616.9</v>
      </c>
      <c r="G107" s="28">
        <f t="shared" si="25"/>
        <v>14443.099999999999</v>
      </c>
      <c r="H107" s="28">
        <f t="shared" si="25"/>
        <v>14715.8</v>
      </c>
      <c r="I107" s="28">
        <f t="shared" si="25"/>
        <v>14715.8</v>
      </c>
      <c r="J107" s="28">
        <f t="shared" si="25"/>
        <v>14715.8</v>
      </c>
      <c r="K107" s="23">
        <f t="shared" si="24"/>
        <v>94950.82</v>
      </c>
    </row>
    <row r="108" spans="1:11" s="21" customFormat="1">
      <c r="A108" s="56"/>
      <c r="B108" s="57"/>
      <c r="C108" s="42" t="s">
        <v>22</v>
      </c>
      <c r="D108" s="30"/>
      <c r="E108" s="30"/>
      <c r="F108" s="30"/>
      <c r="G108" s="30"/>
      <c r="H108" s="30"/>
      <c r="I108" s="30"/>
      <c r="J108" s="30"/>
      <c r="K108" s="23">
        <f t="shared" si="24"/>
        <v>0</v>
      </c>
    </row>
    <row r="109" spans="1:11" s="21" customFormat="1">
      <c r="A109" s="56"/>
      <c r="B109" s="57"/>
      <c r="C109" s="31" t="s">
        <v>19</v>
      </c>
      <c r="D109" s="35"/>
      <c r="E109" s="35"/>
      <c r="F109" s="35"/>
      <c r="G109" s="35"/>
      <c r="H109" s="35"/>
      <c r="I109" s="35"/>
      <c r="J109" s="35"/>
      <c r="K109" s="23">
        <f t="shared" si="24"/>
        <v>0</v>
      </c>
    </row>
    <row r="110" spans="1:11" s="27" customFormat="1">
      <c r="A110" s="56"/>
      <c r="B110" s="57"/>
      <c r="C110" s="31" t="s">
        <v>20</v>
      </c>
      <c r="D110" s="47">
        <f>10938.314-3.024</f>
        <v>10935.29</v>
      </c>
      <c r="E110" s="48">
        <f t="shared" ref="E110:J110" si="26">SUM(E114+E116)</f>
        <v>11808.13</v>
      </c>
      <c r="F110" s="35">
        <f t="shared" si="26"/>
        <v>13616.9</v>
      </c>
      <c r="G110" s="35">
        <f t="shared" si="26"/>
        <v>14443.099999999999</v>
      </c>
      <c r="H110" s="35">
        <f t="shared" si="26"/>
        <v>14715.8</v>
      </c>
      <c r="I110" s="35">
        <f t="shared" si="26"/>
        <v>14715.8</v>
      </c>
      <c r="J110" s="35">
        <f t="shared" si="26"/>
        <v>14715.8</v>
      </c>
      <c r="K110" s="23">
        <f t="shared" si="24"/>
        <v>94950.82</v>
      </c>
    </row>
    <row r="111" spans="1:11" s="27" customFormat="1" ht="19.350000000000001" customHeight="1">
      <c r="A111" s="56" t="s">
        <v>85</v>
      </c>
      <c r="B111" s="57" t="s">
        <v>86</v>
      </c>
      <c r="C111" s="49" t="s">
        <v>17</v>
      </c>
      <c r="D111" s="50">
        <f t="shared" ref="D111:J111" si="27">SUM(D112:D114)</f>
        <v>1032.19</v>
      </c>
      <c r="E111" s="51">
        <f t="shared" si="27"/>
        <v>1277.2300000000002</v>
      </c>
      <c r="F111" s="52">
        <f t="shared" si="27"/>
        <v>1523.6</v>
      </c>
      <c r="G111" s="52">
        <f t="shared" si="27"/>
        <v>1669.8000000000002</v>
      </c>
      <c r="H111" s="52">
        <f t="shared" si="27"/>
        <v>1358.5</v>
      </c>
      <c r="I111" s="52">
        <f t="shared" si="27"/>
        <v>1358.5</v>
      </c>
      <c r="J111" s="52">
        <f t="shared" si="27"/>
        <v>1358.5</v>
      </c>
      <c r="K111" s="23">
        <f t="shared" si="24"/>
        <v>9578.32</v>
      </c>
    </row>
    <row r="112" spans="1:11" s="27" customFormat="1">
      <c r="A112" s="56"/>
      <c r="B112" s="57"/>
      <c r="C112" s="42" t="s">
        <v>22</v>
      </c>
      <c r="D112" s="43"/>
      <c r="E112" s="35"/>
      <c r="F112" s="35"/>
      <c r="G112" s="35"/>
      <c r="H112" s="35"/>
      <c r="I112" s="35"/>
      <c r="J112" s="35"/>
      <c r="K112" s="23">
        <f t="shared" si="24"/>
        <v>0</v>
      </c>
    </row>
    <row r="113" spans="1:11" s="27" customFormat="1">
      <c r="A113" s="56"/>
      <c r="B113" s="57"/>
      <c r="C113" s="31" t="s">
        <v>19</v>
      </c>
      <c r="D113" s="43"/>
      <c r="E113" s="35"/>
      <c r="F113" s="35"/>
      <c r="G113" s="35"/>
      <c r="H113" s="35"/>
      <c r="I113" s="35"/>
      <c r="J113" s="35"/>
      <c r="K113" s="23">
        <f t="shared" si="24"/>
        <v>0</v>
      </c>
    </row>
    <row r="114" spans="1:11" s="27" customFormat="1">
      <c r="A114" s="56"/>
      <c r="B114" s="57"/>
      <c r="C114" s="31" t="s">
        <v>20</v>
      </c>
      <c r="D114" s="43">
        <f>1024.49+10.724-3.024</f>
        <v>1032.19</v>
      </c>
      <c r="E114" s="53">
        <f>1066.8+35.9+44-0.62+27.15+104</f>
        <v>1277.2300000000002</v>
      </c>
      <c r="F114" s="35">
        <v>1523.6</v>
      </c>
      <c r="G114" s="35">
        <f>1350+65.4+170+84.4</f>
        <v>1669.8000000000002</v>
      </c>
      <c r="H114" s="35">
        <v>1358.5</v>
      </c>
      <c r="I114" s="35">
        <v>1358.5</v>
      </c>
      <c r="J114" s="35">
        <v>1358.5</v>
      </c>
      <c r="K114" s="23">
        <f t="shared" si="24"/>
        <v>9578.32</v>
      </c>
    </row>
    <row r="115" spans="1:11" s="27" customFormat="1" ht="39.75" customHeight="1">
      <c r="A115" s="34" t="s">
        <v>87</v>
      </c>
      <c r="B115" s="44" t="s">
        <v>88</v>
      </c>
      <c r="C115" s="49" t="s">
        <v>17</v>
      </c>
      <c r="D115" s="52">
        <f t="shared" ref="D115:J115" si="28">SUM(D116)</f>
        <v>9903.1</v>
      </c>
      <c r="E115" s="52">
        <f t="shared" si="28"/>
        <v>10530.9</v>
      </c>
      <c r="F115" s="52">
        <f t="shared" si="28"/>
        <v>12093.3</v>
      </c>
      <c r="G115" s="52">
        <f t="shared" si="28"/>
        <v>12773.3</v>
      </c>
      <c r="H115" s="52">
        <f t="shared" si="28"/>
        <v>13357.3</v>
      </c>
      <c r="I115" s="52">
        <f t="shared" si="28"/>
        <v>13357.3</v>
      </c>
      <c r="J115" s="52">
        <f t="shared" si="28"/>
        <v>13357.3</v>
      </c>
      <c r="K115" s="23">
        <f t="shared" si="24"/>
        <v>85372.5</v>
      </c>
    </row>
    <row r="116" spans="1:11" s="27" customFormat="1" ht="22.9" customHeight="1">
      <c r="A116" s="34"/>
      <c r="B116" s="44"/>
      <c r="C116" s="31" t="s">
        <v>20</v>
      </c>
      <c r="D116" s="35">
        <v>9903.1</v>
      </c>
      <c r="E116" s="35">
        <f>10195.6+53+255.4+26.9</f>
        <v>10530.9</v>
      </c>
      <c r="F116" s="35">
        <f>11225.8+530.3+70+205.7+61.5</f>
        <v>12093.3</v>
      </c>
      <c r="G116" s="35">
        <f>12260.2+58+13.8+365-2.5+78.8</f>
        <v>12773.3</v>
      </c>
      <c r="H116" s="35">
        <v>13357.3</v>
      </c>
      <c r="I116" s="35">
        <v>13357.3</v>
      </c>
      <c r="J116" s="35">
        <v>13357.3</v>
      </c>
      <c r="K116" s="23">
        <f t="shared" si="24"/>
        <v>85372.5</v>
      </c>
    </row>
    <row r="120" spans="1:11" ht="18.75" customHeight="1">
      <c r="A120" s="58" t="s">
        <v>89</v>
      </c>
      <c r="B120" s="58"/>
      <c r="C120" s="58"/>
      <c r="D120" s="58"/>
      <c r="E120" s="58"/>
      <c r="F120" s="58"/>
      <c r="G120" s="58"/>
      <c r="H120" s="58"/>
      <c r="I120" s="58"/>
      <c r="J120" s="58"/>
      <c r="K120" s="58"/>
    </row>
  </sheetData>
  <autoFilter ref="A8:K116"/>
  <mergeCells count="79">
    <mergeCell ref="I1:K1"/>
    <mergeCell ref="I2:J2"/>
    <mergeCell ref="I3:K3"/>
    <mergeCell ref="B5:K5"/>
    <mergeCell ref="A7:A8"/>
    <mergeCell ref="B7:B8"/>
    <mergeCell ref="C7:C8"/>
    <mergeCell ref="D7:K7"/>
    <mergeCell ref="A9:A12"/>
    <mergeCell ref="B9:B12"/>
    <mergeCell ref="A13:A16"/>
    <mergeCell ref="B13:B16"/>
    <mergeCell ref="A17:A20"/>
    <mergeCell ref="B17:B20"/>
    <mergeCell ref="A21:A22"/>
    <mergeCell ref="B21:B22"/>
    <mergeCell ref="A23:A24"/>
    <mergeCell ref="B23:B24"/>
    <mergeCell ref="A25:A28"/>
    <mergeCell ref="B25:B28"/>
    <mergeCell ref="A29:A30"/>
    <mergeCell ref="B29:B30"/>
    <mergeCell ref="A31:A32"/>
    <mergeCell ref="B31:B32"/>
    <mergeCell ref="A33:A34"/>
    <mergeCell ref="B33:B34"/>
    <mergeCell ref="A35:A38"/>
    <mergeCell ref="B35:B38"/>
    <mergeCell ref="A39:A42"/>
    <mergeCell ref="B39:B42"/>
    <mergeCell ref="A43:A44"/>
    <mergeCell ref="B43:B44"/>
    <mergeCell ref="A45:A47"/>
    <mergeCell ref="B45:B47"/>
    <mergeCell ref="A48:A50"/>
    <mergeCell ref="B48:B50"/>
    <mergeCell ref="A51:A52"/>
    <mergeCell ref="B51:B52"/>
    <mergeCell ref="A53:A56"/>
    <mergeCell ref="B53:B56"/>
    <mergeCell ref="A57:A58"/>
    <mergeCell ref="B57:B58"/>
    <mergeCell ref="A59:A60"/>
    <mergeCell ref="B59:B60"/>
    <mergeCell ref="A61:A62"/>
    <mergeCell ref="B61:B62"/>
    <mergeCell ref="A63:A66"/>
    <mergeCell ref="B63:B66"/>
    <mergeCell ref="A67:A70"/>
    <mergeCell ref="B67:B70"/>
    <mergeCell ref="A71:A72"/>
    <mergeCell ref="B71:B72"/>
    <mergeCell ref="A73:A76"/>
    <mergeCell ref="B73:B76"/>
    <mergeCell ref="A77:A78"/>
    <mergeCell ref="B77:B78"/>
    <mergeCell ref="A79:A80"/>
    <mergeCell ref="B79:B80"/>
    <mergeCell ref="A81:A83"/>
    <mergeCell ref="B81:B83"/>
    <mergeCell ref="A84:A86"/>
    <mergeCell ref="B84:B86"/>
    <mergeCell ref="A87:A90"/>
    <mergeCell ref="B87:B90"/>
    <mergeCell ref="A91:A92"/>
    <mergeCell ref="B91:B92"/>
    <mergeCell ref="A93:A96"/>
    <mergeCell ref="B93:B96"/>
    <mergeCell ref="A97:A100"/>
    <mergeCell ref="B97:B100"/>
    <mergeCell ref="A101:A104"/>
    <mergeCell ref="B101:B104"/>
    <mergeCell ref="A105:A106"/>
    <mergeCell ref="B105:B106"/>
    <mergeCell ref="A107:A110"/>
    <mergeCell ref="B107:B110"/>
    <mergeCell ref="A111:A114"/>
    <mergeCell ref="B111:B114"/>
    <mergeCell ref="A120:K120"/>
  </mergeCells>
  <pageMargins left="0.39374999999999999" right="0.39374999999999999" top="0.59027777777777801" bottom="0.51180555555555496" header="0.51180555555555496" footer="0.51180555555555496"/>
  <pageSetup paperSize="9" firstPageNumber="0" fitToHeight="4" orientation="landscape" horizontalDpi="300" verticalDpi="300"/>
  <rowBreaks count="3" manualBreakCount="3">
    <brk id="32" max="16383" man="1"/>
    <brk id="58" max="16383" man="1"/>
    <brk id="90" max="16383" man="1"/>
  </rowBreaks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IX114"/>
  <sheetViews>
    <sheetView zoomScaleNormal="100" workbookViewId="0"/>
  </sheetViews>
  <sheetFormatPr defaultRowHeight="18.75"/>
  <cols>
    <col min="1" max="1" width="8.42578125" style="1" customWidth="1"/>
    <col min="2" max="2" width="57.42578125" style="2" customWidth="1"/>
    <col min="3" max="3" width="29.5703125" style="2" customWidth="1"/>
    <col min="4" max="4" width="22.85546875" style="2" customWidth="1"/>
    <col min="5" max="5" width="23.28515625" style="2" customWidth="1"/>
    <col min="6" max="6" width="21.42578125" style="2" customWidth="1"/>
    <col min="7" max="7" width="24" style="2" customWidth="1"/>
    <col min="8" max="8" width="21" style="2" customWidth="1"/>
    <col min="9" max="9" width="20.28515625" style="2" customWidth="1"/>
    <col min="10" max="10" width="19" style="2" customWidth="1"/>
    <col min="11" max="11" width="23.42578125" style="3" customWidth="1"/>
    <col min="12" max="253" width="8.42578125" style="4" customWidth="1"/>
    <col min="254" max="254" width="5.42578125" style="4" customWidth="1"/>
    <col min="255" max="255" width="18.42578125" style="4" customWidth="1"/>
    <col min="256" max="256" width="38.42578125" style="4" customWidth="1"/>
    <col min="257" max="258" width="35.42578125" style="4" customWidth="1"/>
    <col min="259" max="1025" width="35.42578125" customWidth="1"/>
  </cols>
  <sheetData>
    <row r="1" spans="1:11" ht="88.9" customHeight="1">
      <c r="G1"/>
      <c r="H1" s="5"/>
      <c r="I1" s="70" t="s">
        <v>91</v>
      </c>
      <c r="J1" s="70"/>
      <c r="K1" s="70"/>
    </row>
    <row r="2" spans="1:11" ht="40.9" customHeight="1">
      <c r="A2" s="6"/>
      <c r="B2" s="7"/>
      <c r="C2" s="7"/>
      <c r="D2" s="7"/>
      <c r="G2"/>
      <c r="H2" s="8"/>
      <c r="I2" s="71" t="s">
        <v>1</v>
      </c>
      <c r="J2" s="71"/>
      <c r="K2" s="8"/>
    </row>
    <row r="3" spans="1:11" ht="21" customHeight="1">
      <c r="A3" s="6"/>
      <c r="B3" s="7"/>
      <c r="C3" s="7"/>
      <c r="D3" s="7"/>
      <c r="G3"/>
      <c r="H3" s="9"/>
      <c r="I3" s="71" t="s">
        <v>2</v>
      </c>
      <c r="J3" s="71"/>
      <c r="K3" s="71"/>
    </row>
    <row r="4" spans="1:11" ht="18.600000000000001" customHeight="1">
      <c r="A4" s="6"/>
      <c r="B4" s="7"/>
      <c r="C4" s="7"/>
      <c r="D4" s="7"/>
      <c r="G4" s="10"/>
      <c r="H4" s="10"/>
      <c r="I4" s="10"/>
      <c r="J4" s="10"/>
      <c r="K4" s="11"/>
    </row>
    <row r="5" spans="1:11" ht="51.2" customHeight="1">
      <c r="A5"/>
      <c r="B5" s="72" t="s">
        <v>3</v>
      </c>
      <c r="C5" s="72"/>
      <c r="D5" s="72"/>
      <c r="E5" s="72"/>
      <c r="F5" s="72"/>
      <c r="G5" s="72"/>
      <c r="H5" s="72"/>
      <c r="I5" s="72"/>
      <c r="J5" s="72"/>
      <c r="K5" s="72"/>
    </row>
    <row r="6" spans="1:11" s="13" customFormat="1">
      <c r="A6" s="1"/>
      <c r="B6" s="2"/>
      <c r="C6" s="2"/>
      <c r="D6" s="2"/>
      <c r="E6" s="12"/>
      <c r="F6" s="12"/>
      <c r="G6" s="12"/>
      <c r="H6" s="12"/>
      <c r="I6" s="12"/>
      <c r="J6" s="12"/>
      <c r="K6" s="3"/>
    </row>
    <row r="7" spans="1:11" s="13" customFormat="1" ht="30.75" customHeight="1">
      <c r="A7" s="73" t="s">
        <v>4</v>
      </c>
      <c r="B7" s="74" t="s">
        <v>5</v>
      </c>
      <c r="C7" s="74" t="s">
        <v>6</v>
      </c>
      <c r="D7" s="75" t="s">
        <v>7</v>
      </c>
      <c r="E7" s="75"/>
      <c r="F7" s="75"/>
      <c r="G7" s="75"/>
      <c r="H7" s="75"/>
      <c r="I7" s="75"/>
      <c r="J7" s="75"/>
      <c r="K7" s="75"/>
    </row>
    <row r="8" spans="1:11" s="13" customFormat="1" ht="59.65" customHeight="1">
      <c r="A8" s="73"/>
      <c r="B8" s="74"/>
      <c r="C8" s="74"/>
      <c r="D8" s="14" t="s">
        <v>8</v>
      </c>
      <c r="E8" s="14" t="s">
        <v>9</v>
      </c>
      <c r="F8" s="14" t="s">
        <v>10</v>
      </c>
      <c r="G8" s="14" t="s">
        <v>11</v>
      </c>
      <c r="H8" s="14" t="s">
        <v>12</v>
      </c>
      <c r="I8" s="14" t="s">
        <v>13</v>
      </c>
      <c r="J8" s="14" t="s">
        <v>14</v>
      </c>
      <c r="K8" s="16" t="s">
        <v>15</v>
      </c>
    </row>
    <row r="9" spans="1:11" s="21" customFormat="1" ht="27.75" customHeight="1">
      <c r="A9" s="93"/>
      <c r="B9" s="77" t="s">
        <v>16</v>
      </c>
      <c r="C9" s="17" t="s">
        <v>17</v>
      </c>
      <c r="D9" s="18">
        <f t="shared" ref="D9:J9" si="0">SUM(D10:D12)</f>
        <v>231720.74199999997</v>
      </c>
      <c r="E9" s="19">
        <f t="shared" si="0"/>
        <v>251967.53399999999</v>
      </c>
      <c r="F9" s="19">
        <f t="shared" si="0"/>
        <v>282378.47200000001</v>
      </c>
      <c r="G9" s="20">
        <f t="shared" si="0"/>
        <v>310561.42</v>
      </c>
      <c r="H9" s="20">
        <f t="shared" si="0"/>
        <v>310267.90000000002</v>
      </c>
      <c r="I9" s="20">
        <f t="shared" si="0"/>
        <v>306288.8</v>
      </c>
      <c r="J9" s="20">
        <f t="shared" si="0"/>
        <v>366249.4</v>
      </c>
      <c r="K9" s="19">
        <v>2059434.2</v>
      </c>
    </row>
    <row r="10" spans="1:11" s="21" customFormat="1">
      <c r="A10" s="93"/>
      <c r="B10" s="77"/>
      <c r="C10" s="22" t="s">
        <v>18</v>
      </c>
      <c r="D10" s="23">
        <f>SUM(D14+D88+D94+D98+D102)</f>
        <v>6445.3</v>
      </c>
      <c r="E10" s="24">
        <f>SUM(E14+E88+E94+E98+E102)</f>
        <v>6105.0339999999997</v>
      </c>
      <c r="F10" s="24">
        <f>SUM(F14+F88+F94+F98+F102+F106)</f>
        <v>6980.4780000000001</v>
      </c>
      <c r="G10" s="24">
        <f>SUM(G14+G88+G94+G98+G102)</f>
        <v>9385.36</v>
      </c>
      <c r="H10" s="24">
        <f>SUM(H14+H88+H94+H98+H102)</f>
        <v>11536.911999999998</v>
      </c>
      <c r="I10" s="24">
        <f>SUM(I14+I88+I94+I98+I102)</f>
        <v>11302.891999999998</v>
      </c>
      <c r="J10" s="24">
        <f>SUM(J14+J88+J94+J98+J102)</f>
        <v>64103.15</v>
      </c>
      <c r="K10" s="25">
        <f t="shared" ref="K10:K41" si="1">SUM(D10:J10)</f>
        <v>115859.12599999999</v>
      </c>
    </row>
    <row r="11" spans="1:11" s="21" customFormat="1">
      <c r="A11" s="93"/>
      <c r="B11" s="77"/>
      <c r="C11" s="22" t="s">
        <v>19</v>
      </c>
      <c r="D11" s="23">
        <f t="shared" ref="D11:J11" si="2">SUM(D15+D89+D95)</f>
        <v>135973.96299999999</v>
      </c>
      <c r="E11" s="24">
        <f t="shared" si="2"/>
        <v>158372.66999999998</v>
      </c>
      <c r="F11" s="24">
        <f t="shared" si="2"/>
        <v>174278.00200000001</v>
      </c>
      <c r="G11" s="24">
        <f t="shared" si="2"/>
        <v>201359.96000000002</v>
      </c>
      <c r="H11" s="24">
        <f t="shared" si="2"/>
        <v>186511.58799999999</v>
      </c>
      <c r="I11" s="24">
        <f t="shared" si="2"/>
        <v>187465.008</v>
      </c>
      <c r="J11" s="24">
        <f t="shared" si="2"/>
        <v>186121.45</v>
      </c>
      <c r="K11" s="41">
        <f t="shared" si="1"/>
        <v>1230082.6410000001</v>
      </c>
    </row>
    <row r="12" spans="1:11" s="27" customFormat="1" ht="23.25" customHeight="1">
      <c r="A12" s="93"/>
      <c r="B12" s="77"/>
      <c r="C12" s="22" t="s">
        <v>20</v>
      </c>
      <c r="D12" s="23">
        <f t="shared" ref="D12:J12" si="3">SUM(D16+D90+D96+D100+D104)</f>
        <v>89301.478999999992</v>
      </c>
      <c r="E12" s="24">
        <f t="shared" si="3"/>
        <v>87489.83</v>
      </c>
      <c r="F12" s="26">
        <f t="shared" si="3"/>
        <v>101119.992</v>
      </c>
      <c r="G12" s="24">
        <f t="shared" si="3"/>
        <v>99816.099999999977</v>
      </c>
      <c r="H12" s="24">
        <f t="shared" si="3"/>
        <v>112219.4</v>
      </c>
      <c r="I12" s="24">
        <f t="shared" si="3"/>
        <v>107520.90000000001</v>
      </c>
      <c r="J12" s="24">
        <f t="shared" si="3"/>
        <v>116024.8</v>
      </c>
      <c r="K12" s="41">
        <f t="shared" si="1"/>
        <v>713492.50100000005</v>
      </c>
    </row>
    <row r="13" spans="1:11" s="7" customFormat="1" ht="25.35" customHeight="1">
      <c r="A13" s="76">
        <v>1</v>
      </c>
      <c r="B13" s="77" t="s">
        <v>21</v>
      </c>
      <c r="C13" s="17" t="s">
        <v>17</v>
      </c>
      <c r="D13" s="18">
        <f t="shared" ref="D13:J13" si="4">SUM(D14:D16)</f>
        <v>210846.52799999999</v>
      </c>
      <c r="E13" s="18">
        <f t="shared" si="4"/>
        <v>229197.5</v>
      </c>
      <c r="F13" s="28">
        <f t="shared" si="4"/>
        <v>257470.592</v>
      </c>
      <c r="G13" s="28">
        <f t="shared" si="4"/>
        <v>284501.52999999997</v>
      </c>
      <c r="H13" s="28">
        <f t="shared" si="4"/>
        <v>283110.40000000002</v>
      </c>
      <c r="I13" s="28">
        <f t="shared" si="4"/>
        <v>278446.3</v>
      </c>
      <c r="J13" s="28">
        <f t="shared" si="4"/>
        <v>337827.9</v>
      </c>
      <c r="K13" s="23">
        <f t="shared" si="1"/>
        <v>1881400.75</v>
      </c>
    </row>
    <row r="14" spans="1:11" ht="25.5" customHeight="1">
      <c r="A14" s="76"/>
      <c r="B14" s="77"/>
      <c r="C14" s="22" t="s">
        <v>22</v>
      </c>
      <c r="D14" s="29">
        <f>SUM(D18+D26)</f>
        <v>6445.3</v>
      </c>
      <c r="E14" s="29">
        <f>SUM(E18+E26+E68)</f>
        <v>6105.0339999999997</v>
      </c>
      <c r="F14" s="28">
        <f>SUM(F18+F26)</f>
        <v>6980.4780000000001</v>
      </c>
      <c r="G14" s="28">
        <f>SUM(G18+G26)</f>
        <v>9385.36</v>
      </c>
      <c r="H14" s="28">
        <f>SUM(H18+H26)</f>
        <v>11536.911999999998</v>
      </c>
      <c r="I14" s="28">
        <f>SUM(I18+I26)</f>
        <v>11302.891999999998</v>
      </c>
      <c r="J14" s="28">
        <f>SUM(J18+J26)</f>
        <v>64103.15</v>
      </c>
      <c r="K14" s="23">
        <f t="shared" si="1"/>
        <v>115859.12599999999</v>
      </c>
    </row>
    <row r="15" spans="1:11" s="7" customFormat="1" ht="23.25" customHeight="1">
      <c r="A15" s="76"/>
      <c r="B15" s="77"/>
      <c r="C15" s="22" t="s">
        <v>23</v>
      </c>
      <c r="D15" s="24">
        <f>SUM(D19+D27+D69+D75)</f>
        <v>126358.56299999999</v>
      </c>
      <c r="E15" s="24">
        <f>SUM(E19+E27+E69+E75+E78)</f>
        <v>147806.76999999999</v>
      </c>
      <c r="F15" s="30">
        <f>SUM(F19+F27+F69+F78+F82)</f>
        <v>163473.622</v>
      </c>
      <c r="G15" s="30">
        <f>SUM(G19+G27+G69+G80+G85)</f>
        <v>190073.14</v>
      </c>
      <c r="H15" s="30">
        <f>SUM(H19+H27+H69+H78+H82+H80)</f>
        <v>174357.58799999999</v>
      </c>
      <c r="I15" s="30">
        <f>SUM(I19+I27+I69+I78+I82+I80)</f>
        <v>174626.008</v>
      </c>
      <c r="J15" s="30">
        <f>SUM(J19+J27+J69+J78+J82+J80)</f>
        <v>172703.45</v>
      </c>
      <c r="K15" s="23">
        <f t="shared" si="1"/>
        <v>1149399.1410000001</v>
      </c>
    </row>
    <row r="16" spans="1:11" s="21" customFormat="1">
      <c r="A16" s="76"/>
      <c r="B16" s="77"/>
      <c r="C16" s="22" t="s">
        <v>20</v>
      </c>
      <c r="D16" s="24">
        <f>SUM(D20+D28+D70+D72+D76)</f>
        <v>78042.664999999994</v>
      </c>
      <c r="E16" s="24">
        <f>SUM(E20+E28+E70+E72+E76)</f>
        <v>75285.695999999996</v>
      </c>
      <c r="F16" s="30">
        <f>SUM(F20+F28+F70+F72+F83)</f>
        <v>87016.491999999998</v>
      </c>
      <c r="G16" s="30">
        <f>SUM(G20+G28+G70+G72+G86)</f>
        <v>85043.029999999984</v>
      </c>
      <c r="H16" s="30">
        <f>SUM(H20+H28+H70+H72+H83)</f>
        <v>97215.9</v>
      </c>
      <c r="I16" s="30">
        <f>SUM(I20+I28+I70+I72+I83)</f>
        <v>92517.400000000009</v>
      </c>
      <c r="J16" s="30">
        <f>SUM(J20+J28+J70+J72+J83)</f>
        <v>101021.3</v>
      </c>
      <c r="K16" s="23">
        <f t="shared" si="1"/>
        <v>616142.48300000001</v>
      </c>
    </row>
    <row r="17" spans="1:11" s="7" customFormat="1" ht="19.350000000000001" customHeight="1">
      <c r="A17" s="81" t="s">
        <v>24</v>
      </c>
      <c r="B17" s="84" t="s">
        <v>25</v>
      </c>
      <c r="C17" s="17" t="s">
        <v>17</v>
      </c>
      <c r="D17" s="28">
        <f t="shared" ref="D17:J17" si="5">SUM(D18:D20)</f>
        <v>124072.935</v>
      </c>
      <c r="E17" s="28">
        <f t="shared" si="5"/>
        <v>135535.09599999999</v>
      </c>
      <c r="F17" s="28">
        <f t="shared" si="5"/>
        <v>153022.04</v>
      </c>
      <c r="G17" s="28">
        <f t="shared" si="5"/>
        <v>168311.5</v>
      </c>
      <c r="H17" s="28">
        <f t="shared" si="5"/>
        <v>170973.09999999998</v>
      </c>
      <c r="I17" s="28">
        <f t="shared" si="5"/>
        <v>168258.7</v>
      </c>
      <c r="J17" s="28">
        <f t="shared" si="5"/>
        <v>169581.90000000002</v>
      </c>
      <c r="K17" s="18">
        <f t="shared" si="1"/>
        <v>1089755.2710000002</v>
      </c>
    </row>
    <row r="18" spans="1:11" s="7" customFormat="1" ht="26.25" customHeight="1">
      <c r="A18" s="81"/>
      <c r="B18" s="84"/>
      <c r="C18" s="22" t="s">
        <v>18</v>
      </c>
      <c r="D18" s="30"/>
      <c r="E18" s="30"/>
      <c r="F18" s="30"/>
      <c r="G18" s="30"/>
      <c r="H18" s="30"/>
      <c r="I18" s="30"/>
      <c r="J18" s="30"/>
      <c r="K18" s="23">
        <f t="shared" si="1"/>
        <v>0</v>
      </c>
    </row>
    <row r="19" spans="1:11" s="7" customFormat="1" ht="26.25" customHeight="1">
      <c r="A19" s="81"/>
      <c r="B19" s="84"/>
      <c r="C19" s="31" t="s">
        <v>23</v>
      </c>
      <c r="D19" s="30">
        <v>71134</v>
      </c>
      <c r="E19" s="30">
        <f>79060.4-1697.7+4260+6672-438.6</f>
        <v>87856.099999999991</v>
      </c>
      <c r="F19" s="30">
        <f>76016.7+2466.4+2458+7644.8+6461.7-90-952</f>
        <v>94005.599999999991</v>
      </c>
      <c r="G19" s="30">
        <f>92557+4389.2+162.5+350.3+145.3+4864.2+6048.1+86.1-286.8</f>
        <v>108315.90000000001</v>
      </c>
      <c r="H19" s="30">
        <v>99710.7</v>
      </c>
      <c r="I19" s="30">
        <v>100070.9</v>
      </c>
      <c r="J19" s="30">
        <v>92898.1</v>
      </c>
      <c r="K19" s="23">
        <f t="shared" si="1"/>
        <v>653991.29999999993</v>
      </c>
    </row>
    <row r="20" spans="1:11" s="7" customFormat="1" ht="26.25" customHeight="1">
      <c r="A20" s="81"/>
      <c r="B20" s="84"/>
      <c r="C20" s="32" t="s">
        <v>20</v>
      </c>
      <c r="D20" s="23">
        <v>52938.934999999998</v>
      </c>
      <c r="E20" s="30">
        <f>48011.4+1724.896+1697.7-2423.2-1162.9+282.8-451.7</f>
        <v>47678.996000000006</v>
      </c>
      <c r="F20" s="30">
        <f>55670.5+4087.1+398.4+11.9-199.1-410-8.96-482.2-30.1-21.1</f>
        <v>59016.44000000001</v>
      </c>
      <c r="G20" s="30">
        <f>56204.2+136.6+15+27+600+269.9+2758.1-74+736.1+361.4-1.2-996-40.7-0.8</f>
        <v>59995.6</v>
      </c>
      <c r="H20" s="30">
        <v>71262.399999999994</v>
      </c>
      <c r="I20" s="30">
        <v>68187.8</v>
      </c>
      <c r="J20" s="30">
        <v>76683.8</v>
      </c>
      <c r="K20" s="23">
        <f t="shared" si="1"/>
        <v>435763.97100000002</v>
      </c>
    </row>
    <row r="21" spans="1:11" s="7" customFormat="1" ht="26.85" customHeight="1">
      <c r="A21" s="83" t="s">
        <v>26</v>
      </c>
      <c r="B21" s="79" t="s">
        <v>27</v>
      </c>
      <c r="C21" s="33" t="s">
        <v>17</v>
      </c>
      <c r="D21" s="30">
        <f t="shared" ref="D21:J21" si="6">SUM(D22)</f>
        <v>1444.2</v>
      </c>
      <c r="E21" s="30">
        <f t="shared" si="6"/>
        <v>1492.1</v>
      </c>
      <c r="F21" s="30">
        <f t="shared" si="6"/>
        <v>1514.4</v>
      </c>
      <c r="G21" s="30">
        <f t="shared" si="6"/>
        <v>1345.2</v>
      </c>
      <c r="H21" s="30">
        <f t="shared" si="6"/>
        <v>1284</v>
      </c>
      <c r="I21" s="30">
        <f t="shared" si="6"/>
        <v>1284</v>
      </c>
      <c r="J21" s="30">
        <f t="shared" si="6"/>
        <v>1284</v>
      </c>
      <c r="K21" s="23">
        <f t="shared" si="1"/>
        <v>9647.9000000000015</v>
      </c>
    </row>
    <row r="22" spans="1:11" s="7" customFormat="1" ht="57.4" customHeight="1">
      <c r="A22" s="83"/>
      <c r="B22" s="79"/>
      <c r="C22" s="32" t="s">
        <v>19</v>
      </c>
      <c r="D22" s="30">
        <v>1444.2</v>
      </c>
      <c r="E22" s="30">
        <v>1492.1</v>
      </c>
      <c r="F22" s="30">
        <f>2466.4-952</f>
        <v>1514.4</v>
      </c>
      <c r="G22" s="30">
        <f>1632-286.8</f>
        <v>1345.2</v>
      </c>
      <c r="H22" s="30">
        <v>1284</v>
      </c>
      <c r="I22" s="30">
        <v>1284</v>
      </c>
      <c r="J22" s="30">
        <v>1284</v>
      </c>
      <c r="K22" s="23">
        <f t="shared" si="1"/>
        <v>9647.9000000000015</v>
      </c>
    </row>
    <row r="23" spans="1:11" s="7" customFormat="1" ht="39.6" customHeight="1">
      <c r="A23" s="83" t="s">
        <v>28</v>
      </c>
      <c r="B23" s="79" t="s">
        <v>29</v>
      </c>
      <c r="C23" s="33" t="s">
        <v>17</v>
      </c>
      <c r="D23" s="30">
        <f t="shared" ref="D23:I23" si="7">SUM(D24)</f>
        <v>0</v>
      </c>
      <c r="E23" s="30">
        <f t="shared" si="7"/>
        <v>717.4</v>
      </c>
      <c r="F23" s="30">
        <f t="shared" si="7"/>
        <v>0</v>
      </c>
      <c r="G23" s="30">
        <f t="shared" si="7"/>
        <v>0</v>
      </c>
      <c r="H23" s="30">
        <f t="shared" si="7"/>
        <v>0</v>
      </c>
      <c r="I23" s="30">
        <f t="shared" si="7"/>
        <v>0</v>
      </c>
      <c r="J23" s="30"/>
      <c r="K23" s="23">
        <f t="shared" si="1"/>
        <v>717.4</v>
      </c>
    </row>
    <row r="24" spans="1:11" s="7" customFormat="1" ht="39.6" customHeight="1">
      <c r="A24" s="83"/>
      <c r="B24" s="79"/>
      <c r="C24" s="32" t="s">
        <v>19</v>
      </c>
      <c r="D24" s="30">
        <v>0</v>
      </c>
      <c r="E24" s="30">
        <f>697.5+19.9</f>
        <v>717.4</v>
      </c>
      <c r="F24" s="30">
        <v>0</v>
      </c>
      <c r="G24" s="30">
        <v>0</v>
      </c>
      <c r="H24" s="30">
        <v>0</v>
      </c>
      <c r="I24" s="30">
        <v>0</v>
      </c>
      <c r="J24" s="30"/>
      <c r="K24" s="23">
        <f t="shared" si="1"/>
        <v>717.4</v>
      </c>
    </row>
    <row r="25" spans="1:11" s="7" customFormat="1" ht="30.4" customHeight="1">
      <c r="A25" s="56" t="s">
        <v>30</v>
      </c>
      <c r="B25" s="84" t="s">
        <v>31</v>
      </c>
      <c r="C25" s="17" t="s">
        <v>17</v>
      </c>
      <c r="D25" s="28">
        <f t="shared" ref="D25:J25" si="8">SUM(D26:D28)</f>
        <v>69732.22</v>
      </c>
      <c r="E25" s="18">
        <f t="shared" si="8"/>
        <v>77012.804000000004</v>
      </c>
      <c r="F25" s="28">
        <f t="shared" si="8"/>
        <v>81148.752000000008</v>
      </c>
      <c r="G25" s="29">
        <f t="shared" si="8"/>
        <v>92900.13</v>
      </c>
      <c r="H25" s="29">
        <f t="shared" si="8"/>
        <v>92649.700000000012</v>
      </c>
      <c r="I25" s="28">
        <f t="shared" si="8"/>
        <v>90833.1</v>
      </c>
      <c r="J25" s="28">
        <f t="shared" si="8"/>
        <v>148891.5</v>
      </c>
      <c r="K25" s="18">
        <f t="shared" si="1"/>
        <v>653168.20600000001</v>
      </c>
    </row>
    <row r="26" spans="1:11" s="7" customFormat="1" ht="25.35" customHeight="1">
      <c r="A26" s="56"/>
      <c r="B26" s="84"/>
      <c r="C26" s="22" t="s">
        <v>18</v>
      </c>
      <c r="D26" s="30">
        <v>6445.3</v>
      </c>
      <c r="E26" s="23">
        <f>6616.296-600-50.3+84.8+240.07-8.8-177-0.032</f>
        <v>6105.0339999999997</v>
      </c>
      <c r="F26" s="23">
        <v>6980.4780000000001</v>
      </c>
      <c r="G26" s="24">
        <f>7000.3+670+149.9+2174.8-30.1-612.4+32.86</f>
        <v>9385.36</v>
      </c>
      <c r="H26" s="24">
        <f>H32+H34+H36+H40+H54+H58</f>
        <v>11536.911999999998</v>
      </c>
      <c r="I26" s="24">
        <f>I32+I34+I36+I40+I54+I58</f>
        <v>11302.891999999998</v>
      </c>
      <c r="J26" s="24">
        <f>J32+J34+J36+J40+J54+J58+J64</f>
        <v>64103.15</v>
      </c>
      <c r="K26" s="23">
        <f t="shared" si="1"/>
        <v>115859.12599999999</v>
      </c>
    </row>
    <row r="27" spans="1:11" ht="22.7" customHeight="1">
      <c r="A27" s="56"/>
      <c r="B27" s="84"/>
      <c r="C27" s="22" t="s">
        <v>19</v>
      </c>
      <c r="D27" s="30">
        <v>48668</v>
      </c>
      <c r="E27" s="23">
        <f>52411.204+600+1339.2-2.6+2.43-223.164</f>
        <v>54127.07</v>
      </c>
      <c r="F27" s="23">
        <v>57028.122000000003</v>
      </c>
      <c r="G27" s="24">
        <f>57255.6-0.1+2548+44.5+55.5+2198+177.3+24.8+4467.4-49.1-120.2-934+5.5+2.14</f>
        <v>65675.34</v>
      </c>
      <c r="H27" s="24">
        <v>63846.887999999999</v>
      </c>
      <c r="I27" s="23">
        <v>63755.108</v>
      </c>
      <c r="J27" s="23">
        <f>63771.15+J65</f>
        <v>69005.350000000006</v>
      </c>
      <c r="K27" s="23">
        <f t="shared" si="1"/>
        <v>422105.87800000003</v>
      </c>
    </row>
    <row r="28" spans="1:11" ht="29.1" customHeight="1">
      <c r="A28" s="56"/>
      <c r="B28" s="84"/>
      <c r="C28" s="22" t="s">
        <v>20</v>
      </c>
      <c r="D28" s="35">
        <v>14618.92</v>
      </c>
      <c r="E28" s="35">
        <f>11952.3+1891.5+3137.6+154.9-352.9-2.7</f>
        <v>16780.699999999997</v>
      </c>
      <c r="F28" s="36">
        <v>17140.151999999998</v>
      </c>
      <c r="G28" s="30">
        <f>14334+128.43+10+119.7-600+837.2-0.1+2854.1+41.2+152.5-29.4+1.4-9.6</f>
        <v>17839.430000000004</v>
      </c>
      <c r="H28" s="30">
        <v>17265.900000000001</v>
      </c>
      <c r="I28" s="36">
        <v>15775.1</v>
      </c>
      <c r="J28" s="36">
        <f>15195.5+J66</f>
        <v>15783</v>
      </c>
      <c r="K28" s="23">
        <f t="shared" si="1"/>
        <v>115203.20200000002</v>
      </c>
    </row>
    <row r="29" spans="1:11" ht="26.65" customHeight="1">
      <c r="A29" s="83" t="s">
        <v>32</v>
      </c>
      <c r="B29" s="92" t="s">
        <v>33</v>
      </c>
      <c r="C29" s="17" t="s">
        <v>17</v>
      </c>
      <c r="D29" s="30">
        <f t="shared" ref="D29:J29" si="9">SUM(D30)</f>
        <v>34.299999999999997</v>
      </c>
      <c r="E29" s="30">
        <f t="shared" si="9"/>
        <v>34.299999999999997</v>
      </c>
      <c r="F29" s="23">
        <f t="shared" si="9"/>
        <v>50.805999999999997</v>
      </c>
      <c r="G29" s="30">
        <f t="shared" si="9"/>
        <v>156.80000000000001</v>
      </c>
      <c r="H29" s="30">
        <f t="shared" si="9"/>
        <v>219.4</v>
      </c>
      <c r="I29" s="23">
        <f t="shared" si="9"/>
        <v>219.4</v>
      </c>
      <c r="J29" s="23">
        <f t="shared" si="9"/>
        <v>219.4</v>
      </c>
      <c r="K29" s="23">
        <f t="shared" si="1"/>
        <v>934.40599999999995</v>
      </c>
    </row>
    <row r="30" spans="1:11" ht="27.75" customHeight="1">
      <c r="A30" s="83"/>
      <c r="B30" s="92"/>
      <c r="C30" s="22" t="s">
        <v>20</v>
      </c>
      <c r="D30" s="30">
        <v>34.299999999999997</v>
      </c>
      <c r="E30" s="30">
        <f>37-2.7</f>
        <v>34.299999999999997</v>
      </c>
      <c r="F30" s="23">
        <v>50.805999999999997</v>
      </c>
      <c r="G30" s="30">
        <v>156.80000000000001</v>
      </c>
      <c r="H30" s="30">
        <v>219.4</v>
      </c>
      <c r="I30" s="23">
        <v>219.4</v>
      </c>
      <c r="J30" s="23">
        <v>219.4</v>
      </c>
      <c r="K30" s="23">
        <f t="shared" si="1"/>
        <v>934.40599999999995</v>
      </c>
    </row>
    <row r="31" spans="1:11" s="39" customFormat="1" ht="23.85" customHeight="1">
      <c r="A31" s="91" t="s">
        <v>34</v>
      </c>
      <c r="B31" s="67" t="s">
        <v>35</v>
      </c>
      <c r="C31" s="37" t="s">
        <v>17</v>
      </c>
      <c r="D31" s="38">
        <f t="shared" ref="D31:I31" si="10">SUM(D32)</f>
        <v>4183.3</v>
      </c>
      <c r="E31" s="38">
        <f t="shared" si="10"/>
        <v>4079.8999999999996</v>
      </c>
      <c r="F31" s="38">
        <f t="shared" si="10"/>
        <v>4402.1000000000004</v>
      </c>
      <c r="G31" s="38">
        <f t="shared" si="10"/>
        <v>0</v>
      </c>
      <c r="H31" s="38">
        <f t="shared" si="10"/>
        <v>0</v>
      </c>
      <c r="I31" s="38">
        <f t="shared" si="10"/>
        <v>0</v>
      </c>
      <c r="J31" s="38" t="s">
        <v>36</v>
      </c>
      <c r="K31" s="23">
        <f t="shared" si="1"/>
        <v>12665.300000000001</v>
      </c>
    </row>
    <row r="32" spans="1:11" s="39" customFormat="1" ht="69.75" customHeight="1">
      <c r="A32" s="91"/>
      <c r="B32" s="67"/>
      <c r="C32" s="40" t="s">
        <v>18</v>
      </c>
      <c r="D32" s="38">
        <v>4183.3</v>
      </c>
      <c r="E32" s="38">
        <f>4222.4-50.3+84.8-177</f>
        <v>4079.8999999999996</v>
      </c>
      <c r="F32" s="26">
        <v>4402.1000000000004</v>
      </c>
      <c r="G32" s="26"/>
      <c r="H32" s="26"/>
      <c r="I32" s="26"/>
      <c r="J32" s="26"/>
      <c r="K32" s="23">
        <f t="shared" si="1"/>
        <v>12665.300000000001</v>
      </c>
    </row>
    <row r="33" spans="1:11" s="39" customFormat="1" ht="55.5" customHeight="1">
      <c r="A33" s="91" t="s">
        <v>37</v>
      </c>
      <c r="B33" s="67" t="s">
        <v>38</v>
      </c>
      <c r="C33" s="37" t="s">
        <v>17</v>
      </c>
      <c r="D33" s="38"/>
      <c r="E33" s="38"/>
      <c r="F33" s="26"/>
      <c r="G33" s="38">
        <f>SUM(G34)</f>
        <v>6634.5000000000009</v>
      </c>
      <c r="H33" s="38">
        <f>SUM(H34)</f>
        <v>8444.7999999999993</v>
      </c>
      <c r="I33" s="38">
        <f>SUM(I34)</f>
        <v>8444.7999999999993</v>
      </c>
      <c r="J33" s="38">
        <f>SUM(J34)</f>
        <v>8444.7999999999993</v>
      </c>
      <c r="K33" s="23">
        <f t="shared" si="1"/>
        <v>31968.899999999998</v>
      </c>
    </row>
    <row r="34" spans="1:11" s="39" customFormat="1" ht="96.6" customHeight="1">
      <c r="A34" s="91"/>
      <c r="B34" s="67"/>
      <c r="C34" s="40" t="s">
        <v>18</v>
      </c>
      <c r="D34" s="38"/>
      <c r="E34" s="38"/>
      <c r="F34" s="26"/>
      <c r="G34" s="26">
        <f>4402.1+670+2174.8-612.4</f>
        <v>6634.5000000000009</v>
      </c>
      <c r="H34" s="26">
        <v>8444.7999999999993</v>
      </c>
      <c r="I34" s="26">
        <v>8444.7999999999993</v>
      </c>
      <c r="J34" s="26">
        <v>8444.7999999999993</v>
      </c>
      <c r="K34" s="23">
        <f t="shared" si="1"/>
        <v>31968.899999999998</v>
      </c>
    </row>
    <row r="35" spans="1:11" s="39" customFormat="1" ht="26.25" customHeight="1">
      <c r="A35" s="83" t="s">
        <v>39</v>
      </c>
      <c r="B35" s="66" t="s">
        <v>40</v>
      </c>
      <c r="C35" s="17" t="s">
        <v>17</v>
      </c>
      <c r="D35" s="30">
        <f t="shared" ref="D35:J35" si="11">SUM(D36:D38)</f>
        <v>1853</v>
      </c>
      <c r="E35" s="23">
        <f t="shared" si="11"/>
        <v>1918.2</v>
      </c>
      <c r="F35" s="41">
        <f t="shared" si="11"/>
        <v>1954.5500000000002</v>
      </c>
      <c r="G35" s="23">
        <f t="shared" si="11"/>
        <v>2024.3</v>
      </c>
      <c r="H35" s="23">
        <f t="shared" si="11"/>
        <v>2130.4</v>
      </c>
      <c r="I35" s="41">
        <f t="shared" si="11"/>
        <v>1907.1</v>
      </c>
      <c r="J35" s="41">
        <f t="shared" si="11"/>
        <v>1785.9</v>
      </c>
      <c r="K35" s="23">
        <f t="shared" si="1"/>
        <v>13573.45</v>
      </c>
    </row>
    <row r="36" spans="1:11" s="39" customFormat="1" ht="26.25" customHeight="1">
      <c r="A36" s="83"/>
      <c r="B36" s="66"/>
      <c r="C36" s="22" t="s">
        <v>18</v>
      </c>
      <c r="D36" s="30">
        <v>1742.7</v>
      </c>
      <c r="E36" s="23">
        <v>1785.06</v>
      </c>
      <c r="F36" s="24">
        <f>1838+27.63-46.945</f>
        <v>1818.6850000000002</v>
      </c>
      <c r="G36" s="24">
        <f>1850.9+32.86</f>
        <v>1883.76</v>
      </c>
      <c r="H36" s="24">
        <v>1982.46</v>
      </c>
      <c r="I36" s="24">
        <v>1736.96</v>
      </c>
      <c r="J36" s="24">
        <v>1608.88</v>
      </c>
      <c r="K36" s="23">
        <f t="shared" si="1"/>
        <v>12558.505000000001</v>
      </c>
    </row>
    <row r="37" spans="1:11" s="39" customFormat="1" ht="26.25" customHeight="1">
      <c r="A37" s="83"/>
      <c r="B37" s="66"/>
      <c r="C37" s="22" t="s">
        <v>19</v>
      </c>
      <c r="D37" s="30">
        <v>91.7</v>
      </c>
      <c r="E37" s="23">
        <v>113.94</v>
      </c>
      <c r="F37" s="24">
        <f>117.6+1.77-3.055</f>
        <v>116.31499999999998</v>
      </c>
      <c r="G37" s="24">
        <f>118.1+2.14</f>
        <v>120.24</v>
      </c>
      <c r="H37" s="24">
        <v>126.54</v>
      </c>
      <c r="I37" s="24">
        <v>151.04</v>
      </c>
      <c r="J37" s="24">
        <v>159.12</v>
      </c>
      <c r="K37" s="23">
        <f t="shared" si="1"/>
        <v>878.89499999999998</v>
      </c>
    </row>
    <row r="38" spans="1:11" s="39" customFormat="1" ht="24.95" customHeight="1">
      <c r="A38" s="83"/>
      <c r="B38" s="66"/>
      <c r="C38" s="22" t="s">
        <v>20</v>
      </c>
      <c r="D38" s="30">
        <v>18.600000000000001</v>
      </c>
      <c r="E38" s="30">
        <v>19.2</v>
      </c>
      <c r="F38" s="30">
        <f>19.8+0.3-0.55</f>
        <v>19.55</v>
      </c>
      <c r="G38" s="30">
        <f>19.9+10-9.6</f>
        <v>20.299999999999997</v>
      </c>
      <c r="H38" s="30">
        <v>21.4</v>
      </c>
      <c r="I38" s="30">
        <v>19.100000000000001</v>
      </c>
      <c r="J38" s="30">
        <v>17.899999999999999</v>
      </c>
      <c r="K38" s="23">
        <f t="shared" si="1"/>
        <v>136.04999999999998</v>
      </c>
    </row>
    <row r="39" spans="1:11" s="39" customFormat="1" ht="25.7" customHeight="1">
      <c r="A39" s="83" t="s">
        <v>41</v>
      </c>
      <c r="B39" s="66" t="s">
        <v>42</v>
      </c>
      <c r="C39" s="17" t="s">
        <v>17</v>
      </c>
      <c r="D39" s="30">
        <f t="shared" ref="D39:I39" si="12">SUM(D40:D42)</f>
        <v>530.02</v>
      </c>
      <c r="E39" s="30">
        <f t="shared" si="12"/>
        <v>0</v>
      </c>
      <c r="F39" s="30">
        <f t="shared" si="12"/>
        <v>0</v>
      </c>
      <c r="G39" s="30">
        <f t="shared" si="12"/>
        <v>0</v>
      </c>
      <c r="H39" s="30">
        <f t="shared" si="12"/>
        <v>0</v>
      </c>
      <c r="I39" s="30">
        <f t="shared" si="12"/>
        <v>0</v>
      </c>
      <c r="J39" s="30"/>
      <c r="K39" s="23">
        <f t="shared" si="1"/>
        <v>530.02</v>
      </c>
    </row>
    <row r="40" spans="1:11" s="39" customFormat="1" ht="25.7" customHeight="1">
      <c r="A40" s="83"/>
      <c r="B40" s="66"/>
      <c r="C40" s="22" t="s">
        <v>18</v>
      </c>
      <c r="D40" s="30">
        <f>666.3-129.1-17.7</f>
        <v>519.49999999999989</v>
      </c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/>
      <c r="K40" s="23">
        <f t="shared" si="1"/>
        <v>519.49999999999989</v>
      </c>
    </row>
    <row r="41" spans="1:11" s="39" customFormat="1" ht="21" customHeight="1">
      <c r="A41" s="83"/>
      <c r="B41" s="66"/>
      <c r="C41" s="22" t="s">
        <v>19</v>
      </c>
      <c r="D41" s="30">
        <f>6.7-1.5</f>
        <v>5.2</v>
      </c>
      <c r="E41" s="30">
        <v>0</v>
      </c>
      <c r="F41" s="30">
        <v>0</v>
      </c>
      <c r="G41" s="30">
        <v>0</v>
      </c>
      <c r="H41" s="30">
        <v>0</v>
      </c>
      <c r="I41" s="30">
        <v>0</v>
      </c>
      <c r="J41" s="30"/>
      <c r="K41" s="23">
        <f t="shared" si="1"/>
        <v>5.2</v>
      </c>
    </row>
    <row r="42" spans="1:11" s="39" customFormat="1" ht="21" customHeight="1">
      <c r="A42" s="83"/>
      <c r="B42" s="66"/>
      <c r="C42" s="22" t="s">
        <v>20</v>
      </c>
      <c r="D42" s="30">
        <f>6.8-1.3-0.18</f>
        <v>5.32</v>
      </c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30"/>
      <c r="K42" s="23">
        <f t="shared" ref="K42:K73" si="13">SUM(D42:J42)</f>
        <v>5.32</v>
      </c>
    </row>
    <row r="43" spans="1:11" s="39" customFormat="1" ht="24.95" customHeight="1">
      <c r="A43" s="91" t="s">
        <v>43</v>
      </c>
      <c r="B43" s="67" t="s">
        <v>44</v>
      </c>
      <c r="C43" s="37" t="s">
        <v>17</v>
      </c>
      <c r="D43" s="30">
        <f t="shared" ref="D43:J43" si="14">D44</f>
        <v>4.9000000000000004</v>
      </c>
      <c r="E43" s="30">
        <f t="shared" si="14"/>
        <v>10.1</v>
      </c>
      <c r="F43" s="30">
        <f t="shared" si="14"/>
        <v>10.6</v>
      </c>
      <c r="G43" s="30">
        <f t="shared" si="14"/>
        <v>5.1000000000000014</v>
      </c>
      <c r="H43" s="30">
        <f t="shared" si="14"/>
        <v>11.3</v>
      </c>
      <c r="I43" s="30">
        <f t="shared" si="14"/>
        <v>11.3</v>
      </c>
      <c r="J43" s="30">
        <f t="shared" si="14"/>
        <v>11.3</v>
      </c>
      <c r="K43" s="23">
        <f t="shared" si="13"/>
        <v>64.599999999999994</v>
      </c>
    </row>
    <row r="44" spans="1:11" s="39" customFormat="1" ht="24.95" customHeight="1">
      <c r="A44" s="91"/>
      <c r="B44" s="67"/>
      <c r="C44" s="22" t="s">
        <v>19</v>
      </c>
      <c r="D44" s="30">
        <f>8-3.1</f>
        <v>4.9000000000000004</v>
      </c>
      <c r="E44" s="30">
        <f>11.7-1.6</f>
        <v>10.1</v>
      </c>
      <c r="F44" s="30">
        <f>12.6-2</f>
        <v>10.6</v>
      </c>
      <c r="G44" s="30">
        <f>54.2-49.1</f>
        <v>5.1000000000000014</v>
      </c>
      <c r="H44" s="30">
        <v>11.3</v>
      </c>
      <c r="I44" s="30">
        <v>11.3</v>
      </c>
      <c r="J44" s="30">
        <v>11.3</v>
      </c>
      <c r="K44" s="23">
        <f t="shared" si="13"/>
        <v>64.599999999999994</v>
      </c>
    </row>
    <row r="45" spans="1:11" s="39" customFormat="1" ht="24.95" customHeight="1">
      <c r="A45" s="85" t="s">
        <v>45</v>
      </c>
      <c r="B45" s="89" t="s">
        <v>46</v>
      </c>
      <c r="C45" s="17" t="s">
        <v>17</v>
      </c>
      <c r="D45" s="30"/>
      <c r="E45" s="30">
        <f>SUM(E46:E47)</f>
        <v>606.20000000000005</v>
      </c>
      <c r="F45" s="30"/>
      <c r="G45" s="30"/>
      <c r="H45" s="30"/>
      <c r="I45" s="30"/>
      <c r="J45" s="30"/>
      <c r="K45" s="23">
        <f t="shared" si="13"/>
        <v>606.20000000000005</v>
      </c>
    </row>
    <row r="46" spans="1:11" s="39" customFormat="1" ht="30.4" customHeight="1">
      <c r="A46" s="85"/>
      <c r="B46" s="89"/>
      <c r="C46" s="22" t="s">
        <v>19</v>
      </c>
      <c r="D46" s="30"/>
      <c r="E46" s="30">
        <v>600</v>
      </c>
      <c r="F46" s="30"/>
      <c r="G46" s="30"/>
      <c r="H46" s="30"/>
      <c r="I46" s="30"/>
      <c r="J46" s="30"/>
      <c r="K46" s="23">
        <f t="shared" si="13"/>
        <v>600</v>
      </c>
    </row>
    <row r="47" spans="1:11" s="39" customFormat="1" ht="46.9" customHeight="1">
      <c r="A47" s="85"/>
      <c r="B47" s="89"/>
      <c r="C47" s="42" t="s">
        <v>20</v>
      </c>
      <c r="D47" s="30"/>
      <c r="E47" s="30">
        <v>6.2</v>
      </c>
      <c r="F47" s="30"/>
      <c r="G47" s="30"/>
      <c r="H47" s="30"/>
      <c r="I47" s="30"/>
      <c r="J47" s="30"/>
      <c r="K47" s="23">
        <f t="shared" si="13"/>
        <v>6.2</v>
      </c>
    </row>
    <row r="48" spans="1:11" s="39" customFormat="1" ht="200.85" customHeight="1">
      <c r="A48" s="81" t="s">
        <v>47</v>
      </c>
      <c r="B48" s="90" t="s">
        <v>48</v>
      </c>
      <c r="C48" s="17" t="s">
        <v>17</v>
      </c>
      <c r="D48" s="30"/>
      <c r="E48" s="30"/>
      <c r="F48" s="30">
        <f>SUM(F49:F50)</f>
        <v>303.10000000000002</v>
      </c>
      <c r="G48" s="30">
        <f>SUM(G49:G50)</f>
        <v>606.20000000000005</v>
      </c>
      <c r="H48" s="30">
        <f>SUM(H49:H50)</f>
        <v>0</v>
      </c>
      <c r="I48" s="30">
        <f>SUM(I49:I50)</f>
        <v>0</v>
      </c>
      <c r="J48" s="30">
        <f>SUM(J49:J50)</f>
        <v>0</v>
      </c>
      <c r="K48" s="23">
        <f t="shared" si="13"/>
        <v>909.30000000000007</v>
      </c>
    </row>
    <row r="49" spans="1:11" s="39" customFormat="1" ht="32.450000000000003" customHeight="1">
      <c r="A49" s="81"/>
      <c r="B49" s="90"/>
      <c r="C49" s="22" t="s">
        <v>19</v>
      </c>
      <c r="D49" s="30"/>
      <c r="E49" s="30"/>
      <c r="F49" s="30">
        <v>300</v>
      </c>
      <c r="G49" s="30">
        <v>600</v>
      </c>
      <c r="H49" s="30">
        <v>0</v>
      </c>
      <c r="I49" s="30">
        <v>0</v>
      </c>
      <c r="J49" s="30">
        <v>0</v>
      </c>
      <c r="K49" s="23">
        <f t="shared" si="13"/>
        <v>900</v>
      </c>
    </row>
    <row r="50" spans="1:11" s="39" customFormat="1" ht="49.7" customHeight="1">
      <c r="A50" s="81"/>
      <c r="B50" s="90"/>
      <c r="C50" s="42" t="s">
        <v>20</v>
      </c>
      <c r="D50" s="30"/>
      <c r="E50" s="30"/>
      <c r="F50" s="30">
        <v>3.1</v>
      </c>
      <c r="G50" s="30">
        <v>6.2</v>
      </c>
      <c r="H50" s="30">
        <v>0</v>
      </c>
      <c r="I50" s="30">
        <v>0</v>
      </c>
      <c r="J50" s="30">
        <v>0</v>
      </c>
      <c r="K50" s="23">
        <f t="shared" si="13"/>
        <v>9.3000000000000007</v>
      </c>
    </row>
    <row r="51" spans="1:11" s="39" customFormat="1" ht="34.9" customHeight="1">
      <c r="A51" s="83" t="s">
        <v>49</v>
      </c>
      <c r="B51" s="79" t="s">
        <v>50</v>
      </c>
      <c r="C51" s="33" t="s">
        <v>17</v>
      </c>
      <c r="D51" s="30">
        <v>0</v>
      </c>
      <c r="E51" s="30">
        <f>SUM(E52)</f>
        <v>40.5</v>
      </c>
      <c r="F51" s="30">
        <v>0</v>
      </c>
      <c r="G51" s="30">
        <v>0</v>
      </c>
      <c r="H51" s="30">
        <v>0</v>
      </c>
      <c r="I51" s="30">
        <v>0</v>
      </c>
      <c r="J51" s="30"/>
      <c r="K51" s="23">
        <f t="shared" si="13"/>
        <v>40.5</v>
      </c>
    </row>
    <row r="52" spans="1:11" s="39" customFormat="1" ht="34.9" customHeight="1">
      <c r="A52" s="83"/>
      <c r="B52" s="79"/>
      <c r="C52" s="32" t="s">
        <v>19</v>
      </c>
      <c r="D52" s="30">
        <v>0</v>
      </c>
      <c r="E52" s="30">
        <f>35.2+5.3</f>
        <v>40.5</v>
      </c>
      <c r="F52" s="30">
        <v>0</v>
      </c>
      <c r="G52" s="30">
        <v>0</v>
      </c>
      <c r="H52" s="30">
        <v>0</v>
      </c>
      <c r="I52" s="30">
        <v>0</v>
      </c>
      <c r="J52" s="30"/>
      <c r="K52" s="23">
        <f t="shared" si="13"/>
        <v>40.5</v>
      </c>
    </row>
    <row r="53" spans="1:11" s="39" customFormat="1" ht="22.9" customHeight="1">
      <c r="A53" s="83" t="s">
        <v>51</v>
      </c>
      <c r="B53" s="88" t="s">
        <v>92</v>
      </c>
      <c r="C53" s="17" t="s">
        <v>17</v>
      </c>
      <c r="D53" s="30"/>
      <c r="E53" s="30">
        <f t="shared" ref="E53:J53" si="15">SUM(E54:E56)</f>
        <v>245</v>
      </c>
      <c r="F53" s="23">
        <f t="shared" si="15"/>
        <v>775.15199999999993</v>
      </c>
      <c r="G53" s="23">
        <f t="shared" si="15"/>
        <v>762.5</v>
      </c>
      <c r="H53" s="23">
        <f t="shared" si="15"/>
        <v>765.00000000000011</v>
      </c>
      <c r="I53" s="23">
        <f t="shared" si="15"/>
        <v>776.69999999999993</v>
      </c>
      <c r="J53" s="23">
        <f t="shared" si="15"/>
        <v>790.80000000000007</v>
      </c>
      <c r="K53" s="23">
        <f t="shared" si="13"/>
        <v>4115.152</v>
      </c>
    </row>
    <row r="54" spans="1:11" s="39" customFormat="1" ht="22.9" customHeight="1">
      <c r="A54" s="83"/>
      <c r="B54" s="88"/>
      <c r="C54" s="22" t="s">
        <v>18</v>
      </c>
      <c r="D54" s="30"/>
      <c r="E54" s="30">
        <v>240.07</v>
      </c>
      <c r="F54" s="23">
        <v>759.69299999999998</v>
      </c>
      <c r="G54" s="23">
        <v>747.3</v>
      </c>
      <c r="H54" s="23">
        <v>749.65200000000004</v>
      </c>
      <c r="I54" s="23">
        <v>761.13199999999995</v>
      </c>
      <c r="J54" s="23">
        <v>767.07</v>
      </c>
      <c r="K54" s="23">
        <f t="shared" si="13"/>
        <v>4024.9170000000004</v>
      </c>
    </row>
    <row r="55" spans="1:11" s="39" customFormat="1" ht="21" customHeight="1">
      <c r="A55" s="83"/>
      <c r="B55" s="88"/>
      <c r="C55" s="22" t="s">
        <v>19</v>
      </c>
      <c r="D55" s="30"/>
      <c r="E55" s="30">
        <v>2.4300000000000002</v>
      </c>
      <c r="F55" s="23">
        <v>7.7069999999999999</v>
      </c>
      <c r="G55" s="23">
        <v>7.6</v>
      </c>
      <c r="H55" s="23">
        <v>7.6479999999999997</v>
      </c>
      <c r="I55" s="23">
        <v>7.7679999999999998</v>
      </c>
      <c r="J55" s="23">
        <v>15.73</v>
      </c>
      <c r="K55" s="23">
        <f t="shared" si="13"/>
        <v>48.882999999999996</v>
      </c>
    </row>
    <row r="56" spans="1:11" s="39" customFormat="1" ht="21.95" customHeight="1">
      <c r="A56" s="83"/>
      <c r="B56" s="88"/>
      <c r="C56" s="42" t="s">
        <v>20</v>
      </c>
      <c r="D56" s="30"/>
      <c r="E56" s="30">
        <v>2.5</v>
      </c>
      <c r="F56" s="23">
        <v>7.7519999999999998</v>
      </c>
      <c r="G56" s="23">
        <v>7.6</v>
      </c>
      <c r="H56" s="23">
        <v>7.7</v>
      </c>
      <c r="I56" s="23">
        <v>7.8</v>
      </c>
      <c r="J56" s="23">
        <v>8</v>
      </c>
      <c r="K56" s="23">
        <f t="shared" si="13"/>
        <v>41.351999999999997</v>
      </c>
    </row>
    <row r="57" spans="1:11" s="39" customFormat="1" ht="35.25" customHeight="1">
      <c r="A57" s="85" t="s">
        <v>53</v>
      </c>
      <c r="B57" s="86" t="s">
        <v>54</v>
      </c>
      <c r="C57" s="33" t="s">
        <v>17</v>
      </c>
      <c r="D57" s="30"/>
      <c r="E57" s="30"/>
      <c r="F57" s="23"/>
      <c r="G57" s="23">
        <f>G58</f>
        <v>119.80000000000001</v>
      </c>
      <c r="H57" s="23">
        <f>H58</f>
        <v>360</v>
      </c>
      <c r="I57" s="23">
        <f>I58</f>
        <v>360</v>
      </c>
      <c r="J57" s="23">
        <f>J58</f>
        <v>360</v>
      </c>
      <c r="K57" s="23">
        <f t="shared" si="13"/>
        <v>1199.8</v>
      </c>
    </row>
    <row r="58" spans="1:11" s="39" customFormat="1" ht="52.35" customHeight="1">
      <c r="A58" s="85"/>
      <c r="B58" s="86"/>
      <c r="C58" s="32" t="s">
        <v>18</v>
      </c>
      <c r="D58" s="30"/>
      <c r="E58" s="30"/>
      <c r="F58" s="23"/>
      <c r="G58" s="23">
        <f>149.9-30.1</f>
        <v>119.80000000000001</v>
      </c>
      <c r="H58" s="23">
        <v>360</v>
      </c>
      <c r="I58" s="23">
        <v>360</v>
      </c>
      <c r="J58" s="23">
        <v>360</v>
      </c>
      <c r="K58" s="23">
        <f t="shared" si="13"/>
        <v>1199.8</v>
      </c>
    </row>
    <row r="59" spans="1:11" s="39" customFormat="1" ht="22.9" customHeight="1">
      <c r="A59" s="85" t="s">
        <v>55</v>
      </c>
      <c r="B59" s="86" t="s">
        <v>56</v>
      </c>
      <c r="C59" s="17" t="s">
        <v>17</v>
      </c>
      <c r="D59" s="30"/>
      <c r="E59" s="30"/>
      <c r="F59" s="23">
        <f>F60</f>
        <v>43.599999999999994</v>
      </c>
      <c r="G59" s="23">
        <f>G60</f>
        <v>116.39999999999999</v>
      </c>
      <c r="H59" s="23">
        <f>H60</f>
        <v>116.4</v>
      </c>
      <c r="I59" s="23">
        <f>I60</f>
        <v>0</v>
      </c>
      <c r="J59" s="23">
        <f>J60</f>
        <v>0</v>
      </c>
      <c r="K59" s="23">
        <f t="shared" si="13"/>
        <v>276.39999999999998</v>
      </c>
    </row>
    <row r="60" spans="1:11" s="39" customFormat="1" ht="27.4" customHeight="1">
      <c r="A60" s="85"/>
      <c r="B60" s="86"/>
      <c r="C60" s="22" t="s">
        <v>19</v>
      </c>
      <c r="D60" s="30"/>
      <c r="E60" s="30"/>
      <c r="F60" s="23">
        <f>26.9+43.2-26.5</f>
        <v>43.599999999999994</v>
      </c>
      <c r="G60" s="23">
        <f>41.6+44.5+24.8+5.5</f>
        <v>116.39999999999999</v>
      </c>
      <c r="H60" s="23">
        <v>116.4</v>
      </c>
      <c r="I60" s="23">
        <v>0</v>
      </c>
      <c r="J60" s="23">
        <v>0</v>
      </c>
      <c r="K60" s="23">
        <f t="shared" si="13"/>
        <v>276.39999999999998</v>
      </c>
    </row>
    <row r="61" spans="1:11" s="39" customFormat="1" ht="69.400000000000006" customHeight="1">
      <c r="A61" s="85" t="s">
        <v>57</v>
      </c>
      <c r="B61" s="86" t="s">
        <v>58</v>
      </c>
      <c r="C61" s="17" t="s">
        <v>17</v>
      </c>
      <c r="D61" s="30"/>
      <c r="E61" s="30"/>
      <c r="F61" s="23"/>
      <c r="G61" s="23">
        <f>G62</f>
        <v>57.100000000000009</v>
      </c>
      <c r="H61" s="23">
        <f>H62</f>
        <v>123</v>
      </c>
      <c r="I61" s="23">
        <f>I62</f>
        <v>123</v>
      </c>
      <c r="J61" s="23">
        <f>J62</f>
        <v>123</v>
      </c>
      <c r="K61" s="23">
        <f t="shared" si="13"/>
        <v>426.1</v>
      </c>
    </row>
    <row r="62" spans="1:11" s="39" customFormat="1" ht="105.95" customHeight="1">
      <c r="A62" s="85"/>
      <c r="B62" s="86"/>
      <c r="C62" s="22" t="s">
        <v>19</v>
      </c>
      <c r="D62" s="30"/>
      <c r="E62" s="30"/>
      <c r="F62" s="23"/>
      <c r="G62" s="23">
        <f>177.3-120.2</f>
        <v>57.100000000000009</v>
      </c>
      <c r="H62" s="23">
        <v>123</v>
      </c>
      <c r="I62" s="23">
        <v>123</v>
      </c>
      <c r="J62" s="23">
        <v>123</v>
      </c>
      <c r="K62" s="23">
        <f t="shared" si="13"/>
        <v>426.1</v>
      </c>
    </row>
    <row r="63" spans="1:11" s="39" customFormat="1" ht="25.5" customHeight="1">
      <c r="A63" s="81" t="s">
        <v>59</v>
      </c>
      <c r="B63" s="87" t="s">
        <v>60</v>
      </c>
      <c r="C63" s="17" t="s">
        <v>17</v>
      </c>
      <c r="D63" s="43"/>
      <c r="E63" s="30"/>
      <c r="F63" s="30"/>
      <c r="G63" s="30"/>
      <c r="H63" s="30"/>
      <c r="I63" s="30"/>
      <c r="J63" s="30">
        <f>SUM(J64:J66)</f>
        <v>58744.1</v>
      </c>
      <c r="K63" s="23">
        <f t="shared" si="13"/>
        <v>58744.1</v>
      </c>
    </row>
    <row r="64" spans="1:11" s="39" customFormat="1" ht="28.7" customHeight="1">
      <c r="A64" s="81"/>
      <c r="B64" s="87"/>
      <c r="C64" s="42" t="s">
        <v>22</v>
      </c>
      <c r="D64" s="43"/>
      <c r="E64" s="30"/>
      <c r="F64" s="30"/>
      <c r="G64" s="30"/>
      <c r="H64" s="30"/>
      <c r="I64" s="30"/>
      <c r="J64" s="30">
        <v>52922.400000000001</v>
      </c>
      <c r="K64" s="23">
        <f t="shared" si="13"/>
        <v>52922.400000000001</v>
      </c>
    </row>
    <row r="65" spans="1:11" s="39" customFormat="1" ht="24.6" customHeight="1">
      <c r="A65" s="81"/>
      <c r="B65" s="87"/>
      <c r="C65" s="31" t="s">
        <v>19</v>
      </c>
      <c r="D65" s="43"/>
      <c r="E65" s="30"/>
      <c r="F65" s="30"/>
      <c r="G65" s="30"/>
      <c r="H65" s="30"/>
      <c r="I65" s="30"/>
      <c r="J65" s="30">
        <v>5234.2</v>
      </c>
      <c r="K65" s="23">
        <f t="shared" si="13"/>
        <v>5234.2</v>
      </c>
    </row>
    <row r="66" spans="1:11" s="39" customFormat="1" ht="36.200000000000003" customHeight="1">
      <c r="A66" s="81"/>
      <c r="B66" s="87"/>
      <c r="C66" s="31" t="s">
        <v>20</v>
      </c>
      <c r="D66" s="43"/>
      <c r="E66" s="30"/>
      <c r="F66" s="30"/>
      <c r="G66" s="30"/>
      <c r="H66" s="30"/>
      <c r="I66" s="30"/>
      <c r="J66" s="30">
        <v>587.5</v>
      </c>
      <c r="K66" s="23">
        <f t="shared" si="13"/>
        <v>587.5</v>
      </c>
    </row>
    <row r="67" spans="1:11" s="21" customFormat="1" ht="19.350000000000001" customHeight="1">
      <c r="A67" s="83" t="s">
        <v>61</v>
      </c>
      <c r="B67" s="84" t="s">
        <v>62</v>
      </c>
      <c r="C67" s="17" t="s">
        <v>17</v>
      </c>
      <c r="D67" s="18">
        <f t="shared" ref="D67:J67" si="16">SUM(D68:D70)</f>
        <v>15341.509999999998</v>
      </c>
      <c r="E67" s="18">
        <f t="shared" si="16"/>
        <v>15539.4</v>
      </c>
      <c r="F67" s="28">
        <f t="shared" si="16"/>
        <v>17665.2</v>
      </c>
      <c r="G67" s="28">
        <f t="shared" si="16"/>
        <v>18323.900000000001</v>
      </c>
      <c r="H67" s="28">
        <f t="shared" si="16"/>
        <v>18687.599999999999</v>
      </c>
      <c r="I67" s="28">
        <f t="shared" si="16"/>
        <v>18554.5</v>
      </c>
      <c r="J67" s="28">
        <f t="shared" si="16"/>
        <v>18554.5</v>
      </c>
      <c r="K67" s="23">
        <f t="shared" si="13"/>
        <v>122666.61000000002</v>
      </c>
    </row>
    <row r="68" spans="1:11" s="21" customFormat="1" ht="23.45" customHeight="1">
      <c r="A68" s="83"/>
      <c r="B68" s="84"/>
      <c r="C68" s="22" t="s">
        <v>18</v>
      </c>
      <c r="D68" s="30"/>
      <c r="E68" s="30"/>
      <c r="F68" s="30"/>
      <c r="G68" s="30"/>
      <c r="H68" s="30"/>
      <c r="I68" s="30"/>
      <c r="J68" s="30"/>
      <c r="K68" s="23">
        <f t="shared" si="13"/>
        <v>0</v>
      </c>
    </row>
    <row r="69" spans="1:11" s="27" customFormat="1" ht="24.95" customHeight="1">
      <c r="A69" s="83"/>
      <c r="B69" s="84"/>
      <c r="C69" s="22" t="s">
        <v>19</v>
      </c>
      <c r="D69" s="30">
        <v>5825.7</v>
      </c>
      <c r="E69" s="30">
        <f>4000+67+918.1+338.5</f>
        <v>5323.6</v>
      </c>
      <c r="F69" s="30">
        <f>5000+1690.5+327.8+500</f>
        <v>7518.3</v>
      </c>
      <c r="G69" s="30">
        <f>10000+736.2+70.1+237.9+500</f>
        <v>11544.2</v>
      </c>
      <c r="H69" s="30">
        <v>10000</v>
      </c>
      <c r="I69" s="30">
        <v>10000</v>
      </c>
      <c r="J69" s="30">
        <v>10000</v>
      </c>
      <c r="K69" s="23">
        <f t="shared" si="13"/>
        <v>60211.8</v>
      </c>
    </row>
    <row r="70" spans="1:11" s="7" customFormat="1">
      <c r="A70" s="83"/>
      <c r="B70" s="84"/>
      <c r="C70" s="42" t="s">
        <v>20</v>
      </c>
      <c r="D70" s="23">
        <v>9515.81</v>
      </c>
      <c r="E70" s="23">
        <f>10370.3+30.1-41+117-270.7+10.1</f>
        <v>10215.799999999999</v>
      </c>
      <c r="F70" s="30">
        <f>10157+17.5+66.2-61.5-2.4-29.9</f>
        <v>10146.900000000001</v>
      </c>
      <c r="G70" s="30">
        <f>6372.1+34.6+107.8+19+109.4+140.6+6.3-10.1</f>
        <v>6779.7000000000007</v>
      </c>
      <c r="H70" s="30">
        <v>8687.6</v>
      </c>
      <c r="I70" s="30">
        <v>8554.5</v>
      </c>
      <c r="J70" s="30">
        <v>8554.5</v>
      </c>
      <c r="K70" s="23">
        <f t="shared" si="13"/>
        <v>62454.810000000005</v>
      </c>
    </row>
    <row r="71" spans="1:11" s="7" customFormat="1" ht="32.65" customHeight="1">
      <c r="A71" s="83" t="s">
        <v>63</v>
      </c>
      <c r="B71" s="79" t="s">
        <v>64</v>
      </c>
      <c r="C71" s="42" t="s">
        <v>17</v>
      </c>
      <c r="D71" s="28">
        <f t="shared" ref="D71:J71" si="17">SUM(D72)</f>
        <v>570.9</v>
      </c>
      <c r="E71" s="28">
        <f t="shared" si="17"/>
        <v>610.20000000000005</v>
      </c>
      <c r="F71" s="28">
        <f t="shared" si="17"/>
        <v>670.40000000000009</v>
      </c>
      <c r="G71" s="28">
        <f t="shared" si="17"/>
        <v>389.89999999999992</v>
      </c>
      <c r="H71" s="28">
        <f t="shared" si="17"/>
        <v>0</v>
      </c>
      <c r="I71" s="28">
        <f t="shared" si="17"/>
        <v>0</v>
      </c>
      <c r="J71" s="28">
        <f t="shared" si="17"/>
        <v>0</v>
      </c>
      <c r="K71" s="23">
        <f t="shared" si="13"/>
        <v>2241.4</v>
      </c>
    </row>
    <row r="72" spans="1:11" s="7" customFormat="1" ht="30.4" customHeight="1">
      <c r="A72" s="83"/>
      <c r="B72" s="79"/>
      <c r="C72" s="42" t="s">
        <v>20</v>
      </c>
      <c r="D72" s="30">
        <v>570.9</v>
      </c>
      <c r="E72" s="30">
        <f>1184-390-183.8</f>
        <v>610.20000000000005</v>
      </c>
      <c r="F72" s="30">
        <f>1340.4-670</f>
        <v>670.40000000000009</v>
      </c>
      <c r="G72" s="30">
        <f>1397.3-999.2-8.2</f>
        <v>389.89999999999992</v>
      </c>
      <c r="H72" s="30">
        <v>0</v>
      </c>
      <c r="I72" s="30">
        <v>0</v>
      </c>
      <c r="J72" s="30">
        <v>0</v>
      </c>
      <c r="K72" s="23">
        <f t="shared" si="13"/>
        <v>2241.4</v>
      </c>
    </row>
    <row r="73" spans="1:11" s="7" customFormat="1" ht="34.9" customHeight="1">
      <c r="A73" s="83" t="s">
        <v>65</v>
      </c>
      <c r="B73" s="84" t="s">
        <v>66</v>
      </c>
      <c r="C73" s="17" t="s">
        <v>17</v>
      </c>
      <c r="D73" s="18">
        <f t="shared" ref="D73:I73" si="18">SUM(D74:D76)</f>
        <v>1128.9630000000002</v>
      </c>
      <c r="E73" s="18">
        <f t="shared" si="18"/>
        <v>0</v>
      </c>
      <c r="F73" s="28">
        <f t="shared" si="18"/>
        <v>0</v>
      </c>
      <c r="G73" s="28">
        <f t="shared" si="18"/>
        <v>0</v>
      </c>
      <c r="H73" s="28">
        <f t="shared" si="18"/>
        <v>0</v>
      </c>
      <c r="I73" s="28">
        <f t="shared" si="18"/>
        <v>0</v>
      </c>
      <c r="J73" s="28"/>
      <c r="K73" s="23">
        <f t="shared" si="13"/>
        <v>1128.9630000000002</v>
      </c>
    </row>
    <row r="74" spans="1:11" s="7" customFormat="1" ht="36.200000000000003" customHeight="1">
      <c r="A74" s="83"/>
      <c r="B74" s="84"/>
      <c r="C74" s="22" t="s">
        <v>18</v>
      </c>
      <c r="D74" s="30"/>
      <c r="E74" s="30"/>
      <c r="F74" s="30"/>
      <c r="G74" s="30"/>
      <c r="H74" s="30"/>
      <c r="I74" s="30"/>
      <c r="J74" s="30"/>
      <c r="K74" s="23">
        <f t="shared" ref="K74:K105" si="19">SUM(D74:J74)</f>
        <v>0</v>
      </c>
    </row>
    <row r="75" spans="1:11" s="7" customFormat="1" ht="37.35" customHeight="1">
      <c r="A75" s="83"/>
      <c r="B75" s="84"/>
      <c r="C75" s="22" t="s">
        <v>19</v>
      </c>
      <c r="D75" s="23">
        <v>730.86300000000006</v>
      </c>
      <c r="E75" s="30">
        <v>0</v>
      </c>
      <c r="F75" s="30">
        <v>0</v>
      </c>
      <c r="G75" s="30">
        <v>0</v>
      </c>
      <c r="H75" s="30">
        <v>0</v>
      </c>
      <c r="I75" s="30">
        <v>0</v>
      </c>
      <c r="J75" s="30"/>
      <c r="K75" s="23">
        <f t="shared" si="19"/>
        <v>730.86300000000006</v>
      </c>
    </row>
    <row r="76" spans="1:11" s="7" customFormat="1" ht="27.75" customHeight="1">
      <c r="A76" s="83"/>
      <c r="B76" s="84"/>
      <c r="C76" s="31" t="s">
        <v>20</v>
      </c>
      <c r="D76" s="43">
        <v>398.1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/>
      <c r="K76" s="23">
        <f t="shared" si="19"/>
        <v>398.1</v>
      </c>
    </row>
    <row r="77" spans="1:11" s="7" customFormat="1" ht="31.5" customHeight="1">
      <c r="A77" s="83" t="s">
        <v>67</v>
      </c>
      <c r="B77" s="79" t="s">
        <v>68</v>
      </c>
      <c r="C77" s="17" t="s">
        <v>17</v>
      </c>
      <c r="D77" s="43"/>
      <c r="E77" s="28">
        <f t="shared" ref="E77:J77" si="20">SUM(E78)</f>
        <v>500</v>
      </c>
      <c r="F77" s="28">
        <f t="shared" si="20"/>
        <v>750</v>
      </c>
      <c r="G77" s="28">
        <f t="shared" si="20"/>
        <v>0</v>
      </c>
      <c r="H77" s="28">
        <f t="shared" si="20"/>
        <v>0</v>
      </c>
      <c r="I77" s="28">
        <f t="shared" si="20"/>
        <v>0</v>
      </c>
      <c r="J77" s="28">
        <f t="shared" si="20"/>
        <v>0</v>
      </c>
      <c r="K77" s="23">
        <f t="shared" si="19"/>
        <v>1250</v>
      </c>
    </row>
    <row r="78" spans="1:11" s="7" customFormat="1" ht="20.100000000000001" customHeight="1">
      <c r="A78" s="83"/>
      <c r="B78" s="79"/>
      <c r="C78" s="42" t="s">
        <v>23</v>
      </c>
      <c r="D78" s="43"/>
      <c r="E78" s="30">
        <v>500</v>
      </c>
      <c r="F78" s="30">
        <v>750</v>
      </c>
      <c r="G78" s="30"/>
      <c r="H78" s="30"/>
      <c r="I78" s="30"/>
      <c r="J78" s="30"/>
      <c r="K78" s="23">
        <f t="shared" si="19"/>
        <v>1250</v>
      </c>
    </row>
    <row r="79" spans="1:11" s="7" customFormat="1" ht="20.100000000000001" customHeight="1">
      <c r="A79" s="81"/>
      <c r="B79" s="79" t="s">
        <v>69</v>
      </c>
      <c r="C79" s="17" t="s">
        <v>17</v>
      </c>
      <c r="D79" s="43"/>
      <c r="E79" s="30"/>
      <c r="F79" s="30"/>
      <c r="G79" s="28">
        <f>G80</f>
        <v>750</v>
      </c>
      <c r="H79" s="28">
        <f>H80</f>
        <v>800</v>
      </c>
      <c r="I79" s="28">
        <f>I80</f>
        <v>800</v>
      </c>
      <c r="J79" s="28">
        <f>J80</f>
        <v>800</v>
      </c>
      <c r="K79" s="23">
        <f t="shared" si="19"/>
        <v>3150</v>
      </c>
    </row>
    <row r="80" spans="1:11" s="7" customFormat="1" ht="20.100000000000001" customHeight="1">
      <c r="A80" s="81"/>
      <c r="B80" s="79"/>
      <c r="C80" s="42" t="s">
        <v>23</v>
      </c>
      <c r="D80" s="43"/>
      <c r="E80" s="30"/>
      <c r="F80" s="30"/>
      <c r="G80" s="30">
        <v>750</v>
      </c>
      <c r="H80" s="30">
        <v>800</v>
      </c>
      <c r="I80" s="30">
        <v>800</v>
      </c>
      <c r="J80" s="30">
        <v>800</v>
      </c>
      <c r="K80" s="23">
        <f t="shared" si="19"/>
        <v>3150</v>
      </c>
    </row>
    <row r="81" spans="1:11" s="7" customFormat="1" ht="54.6" customHeight="1">
      <c r="A81" s="81" t="s">
        <v>70</v>
      </c>
      <c r="B81" s="82" t="s">
        <v>71</v>
      </c>
      <c r="C81" s="17" t="s">
        <v>17</v>
      </c>
      <c r="D81" s="43"/>
      <c r="E81" s="30"/>
      <c r="F81" s="30">
        <f>SUM(F82:F83)</f>
        <v>4214.2000000000007</v>
      </c>
      <c r="G81" s="30"/>
      <c r="H81" s="30">
        <f>SUM(H82:H83)</f>
        <v>0</v>
      </c>
      <c r="I81" s="30">
        <f>SUM(I82:I83)</f>
        <v>0</v>
      </c>
      <c r="J81" s="30"/>
      <c r="K81" s="23">
        <f t="shared" si="19"/>
        <v>4214.2000000000007</v>
      </c>
    </row>
    <row r="82" spans="1:11" s="7" customFormat="1" ht="30.2" customHeight="1">
      <c r="A82" s="81"/>
      <c r="B82" s="82"/>
      <c r="C82" s="22" t="s">
        <v>19</v>
      </c>
      <c r="D82" s="43"/>
      <c r="E82" s="30"/>
      <c r="F82" s="30">
        <v>4171.6000000000004</v>
      </c>
      <c r="G82" s="30"/>
      <c r="H82" s="30"/>
      <c r="I82" s="30"/>
      <c r="J82" s="30"/>
      <c r="K82" s="23">
        <f t="shared" si="19"/>
        <v>4171.6000000000004</v>
      </c>
    </row>
    <row r="83" spans="1:11" s="7" customFormat="1" ht="41.85" customHeight="1">
      <c r="A83" s="81"/>
      <c r="B83" s="82"/>
      <c r="C83" s="42" t="s">
        <v>20</v>
      </c>
      <c r="D83" s="43"/>
      <c r="E83" s="30"/>
      <c r="F83" s="30">
        <f>42.4+0.2</f>
        <v>42.6</v>
      </c>
      <c r="G83" s="30"/>
      <c r="H83" s="30"/>
      <c r="I83" s="30"/>
      <c r="J83" s="30"/>
      <c r="K83" s="23">
        <f t="shared" si="19"/>
        <v>42.6</v>
      </c>
    </row>
    <row r="84" spans="1:11" s="7" customFormat="1" ht="23.65" customHeight="1">
      <c r="A84" s="81"/>
      <c r="B84" s="82" t="s">
        <v>72</v>
      </c>
      <c r="C84" s="17" t="s">
        <v>17</v>
      </c>
      <c r="D84" s="43"/>
      <c r="E84" s="30"/>
      <c r="F84" s="30"/>
      <c r="G84" s="30">
        <f>SUM(G85:G86)</f>
        <v>3826.1</v>
      </c>
      <c r="H84" s="30">
        <f>SUM(H85:H86)</f>
        <v>0</v>
      </c>
      <c r="I84" s="30">
        <f>SUM(I85:I86)</f>
        <v>0</v>
      </c>
      <c r="J84" s="30"/>
      <c r="K84" s="23">
        <f t="shared" si="19"/>
        <v>3826.1</v>
      </c>
    </row>
    <row r="85" spans="1:11" s="7" customFormat="1" ht="26.1" customHeight="1">
      <c r="A85" s="81"/>
      <c r="B85" s="82"/>
      <c r="C85" s="22" t="s">
        <v>19</v>
      </c>
      <c r="D85" s="43"/>
      <c r="E85" s="30"/>
      <c r="F85" s="30"/>
      <c r="G85" s="30">
        <v>3787.7</v>
      </c>
      <c r="H85" s="30"/>
      <c r="I85" s="30"/>
      <c r="J85" s="30"/>
      <c r="K85" s="23">
        <f t="shared" si="19"/>
        <v>3787.7</v>
      </c>
    </row>
    <row r="86" spans="1:11" s="7" customFormat="1" ht="51" customHeight="1">
      <c r="A86" s="81"/>
      <c r="B86" s="82"/>
      <c r="C86" s="42" t="s">
        <v>20</v>
      </c>
      <c r="D86" s="43"/>
      <c r="E86" s="30"/>
      <c r="F86" s="30"/>
      <c r="G86" s="30">
        <v>38.4</v>
      </c>
      <c r="H86" s="30"/>
      <c r="I86" s="30"/>
      <c r="J86" s="30"/>
      <c r="K86" s="23">
        <f t="shared" si="19"/>
        <v>38.4</v>
      </c>
    </row>
    <row r="87" spans="1:11" s="21" customFormat="1" ht="27.75" customHeight="1">
      <c r="A87" s="56" t="s">
        <v>73</v>
      </c>
      <c r="B87" s="57" t="s">
        <v>74</v>
      </c>
      <c r="C87" s="17" t="s">
        <v>17</v>
      </c>
      <c r="D87" s="28">
        <f t="shared" ref="D87:J87" si="21">SUM(D88:D90)</f>
        <v>9321</v>
      </c>
      <c r="E87" s="28">
        <f t="shared" si="21"/>
        <v>10259</v>
      </c>
      <c r="F87" s="28">
        <f t="shared" si="21"/>
        <v>10462</v>
      </c>
      <c r="G87" s="28">
        <f t="shared" si="21"/>
        <v>10830</v>
      </c>
      <c r="H87" s="28">
        <f t="shared" si="21"/>
        <v>11672</v>
      </c>
      <c r="I87" s="28">
        <f t="shared" si="21"/>
        <v>12357</v>
      </c>
      <c r="J87" s="28">
        <f t="shared" si="21"/>
        <v>12936</v>
      </c>
      <c r="K87" s="23">
        <f t="shared" si="19"/>
        <v>77837</v>
      </c>
    </row>
    <row r="88" spans="1:11" s="21" customFormat="1">
      <c r="A88" s="56"/>
      <c r="B88" s="57"/>
      <c r="C88" s="42" t="s">
        <v>22</v>
      </c>
      <c r="D88" s="30"/>
      <c r="E88" s="30"/>
      <c r="F88" s="30"/>
      <c r="G88" s="30"/>
      <c r="H88" s="30"/>
      <c r="I88" s="30"/>
      <c r="J88" s="30"/>
      <c r="K88" s="23">
        <f t="shared" si="19"/>
        <v>0</v>
      </c>
    </row>
    <row r="89" spans="1:11" s="21" customFormat="1">
      <c r="A89" s="56"/>
      <c r="B89" s="57"/>
      <c r="C89" s="31" t="s">
        <v>19</v>
      </c>
      <c r="D89" s="30">
        <v>9286</v>
      </c>
      <c r="E89" s="30">
        <f>10009+76+134</f>
        <v>10219</v>
      </c>
      <c r="F89" s="30">
        <v>10412</v>
      </c>
      <c r="G89" s="30">
        <v>10765</v>
      </c>
      <c r="H89" s="30">
        <v>11622</v>
      </c>
      <c r="I89" s="30">
        <v>12307</v>
      </c>
      <c r="J89" s="30">
        <v>12886</v>
      </c>
      <c r="K89" s="23">
        <f t="shared" si="19"/>
        <v>77497</v>
      </c>
    </row>
    <row r="90" spans="1:11" s="27" customFormat="1">
      <c r="A90" s="56"/>
      <c r="B90" s="57"/>
      <c r="C90" s="31" t="s">
        <v>20</v>
      </c>
      <c r="D90" s="45">
        <v>35</v>
      </c>
      <c r="E90" s="45">
        <v>40</v>
      </c>
      <c r="F90" s="45">
        <v>50</v>
      </c>
      <c r="G90" s="45">
        <f>50+15</f>
        <v>65</v>
      </c>
      <c r="H90" s="45">
        <v>50</v>
      </c>
      <c r="I90" s="45">
        <v>50</v>
      </c>
      <c r="J90" s="45">
        <v>50</v>
      </c>
      <c r="K90" s="23">
        <f t="shared" si="19"/>
        <v>340</v>
      </c>
    </row>
    <row r="91" spans="1:11" s="21" customFormat="1" ht="25.35" customHeight="1">
      <c r="A91" s="56" t="s">
        <v>75</v>
      </c>
      <c r="B91" s="80" t="s">
        <v>76</v>
      </c>
      <c r="C91" s="17" t="s">
        <v>17</v>
      </c>
      <c r="D91" s="46">
        <f t="shared" ref="D91:J91" si="22">SUM(D92:D92)</f>
        <v>9286</v>
      </c>
      <c r="E91" s="46">
        <f t="shared" si="22"/>
        <v>10219</v>
      </c>
      <c r="F91" s="28">
        <f t="shared" si="22"/>
        <v>10412</v>
      </c>
      <c r="G91" s="28">
        <f t="shared" si="22"/>
        <v>10765</v>
      </c>
      <c r="H91" s="28">
        <f t="shared" si="22"/>
        <v>11622</v>
      </c>
      <c r="I91" s="28">
        <f t="shared" si="22"/>
        <v>12307</v>
      </c>
      <c r="J91" s="28">
        <f t="shared" si="22"/>
        <v>12886</v>
      </c>
      <c r="K91" s="23">
        <f t="shared" si="19"/>
        <v>77497</v>
      </c>
    </row>
    <row r="92" spans="1:11" s="27" customFormat="1" ht="37.35" customHeight="1">
      <c r="A92" s="56"/>
      <c r="B92" s="80"/>
      <c r="C92" s="22" t="s">
        <v>19</v>
      </c>
      <c r="D92" s="30">
        <v>9286</v>
      </c>
      <c r="E92" s="30">
        <f>10009+76+134</f>
        <v>10219</v>
      </c>
      <c r="F92" s="30">
        <v>10412</v>
      </c>
      <c r="G92" s="30">
        <v>10765</v>
      </c>
      <c r="H92" s="30">
        <v>11622</v>
      </c>
      <c r="I92" s="30">
        <v>12307</v>
      </c>
      <c r="J92" s="30">
        <v>12886</v>
      </c>
      <c r="K92" s="23">
        <f t="shared" si="19"/>
        <v>77497</v>
      </c>
    </row>
    <row r="93" spans="1:11" s="21" customFormat="1" ht="19.350000000000001" customHeight="1">
      <c r="A93" s="56" t="s">
        <v>77</v>
      </c>
      <c r="B93" s="57" t="s">
        <v>78</v>
      </c>
      <c r="C93" s="17" t="s">
        <v>17</v>
      </c>
      <c r="D93" s="18">
        <f t="shared" ref="D93:J93" si="23">SUM(D94:D96)</f>
        <v>512.72399999999993</v>
      </c>
      <c r="E93" s="18">
        <f t="shared" si="23"/>
        <v>584.50399999999991</v>
      </c>
      <c r="F93" s="28">
        <f t="shared" si="23"/>
        <v>686.48</v>
      </c>
      <c r="G93" s="28">
        <f t="shared" si="23"/>
        <v>632.9899999999999</v>
      </c>
      <c r="H93" s="28">
        <f t="shared" si="23"/>
        <v>643.29999999999995</v>
      </c>
      <c r="I93" s="28">
        <f t="shared" si="23"/>
        <v>643.29999999999995</v>
      </c>
      <c r="J93" s="28">
        <f t="shared" si="23"/>
        <v>643.29999999999995</v>
      </c>
      <c r="K93" s="23">
        <f t="shared" si="19"/>
        <v>4346.598</v>
      </c>
    </row>
    <row r="94" spans="1:11" s="21" customFormat="1" ht="22.7" customHeight="1">
      <c r="A94" s="56"/>
      <c r="B94" s="57"/>
      <c r="C94" s="22" t="s">
        <v>18</v>
      </c>
      <c r="D94" s="30"/>
      <c r="E94" s="30"/>
      <c r="F94" s="30"/>
      <c r="G94" s="30"/>
      <c r="H94" s="30"/>
      <c r="I94" s="30"/>
      <c r="J94" s="30"/>
      <c r="K94" s="23">
        <f t="shared" si="19"/>
        <v>0</v>
      </c>
    </row>
    <row r="95" spans="1:11" s="27" customFormat="1" ht="25.35" customHeight="1">
      <c r="A95" s="56"/>
      <c r="B95" s="57"/>
      <c r="C95" s="22" t="s">
        <v>19</v>
      </c>
      <c r="D95" s="30">
        <v>329.4</v>
      </c>
      <c r="E95" s="30">
        <v>346.9</v>
      </c>
      <c r="F95" s="30">
        <v>392.38</v>
      </c>
      <c r="G95" s="25">
        <f>396.64+125.17+0.01</f>
        <v>521.81999999999994</v>
      </c>
      <c r="H95" s="30">
        <v>532</v>
      </c>
      <c r="I95" s="30">
        <v>532</v>
      </c>
      <c r="J95" s="30">
        <v>532</v>
      </c>
      <c r="K95" s="23">
        <f t="shared" si="19"/>
        <v>3186.5</v>
      </c>
    </row>
    <row r="96" spans="1:11" s="27" customFormat="1" ht="39.6" customHeight="1">
      <c r="A96" s="56"/>
      <c r="B96" s="57"/>
      <c r="C96" s="22" t="s">
        <v>20</v>
      </c>
      <c r="D96" s="23">
        <v>183.32400000000001</v>
      </c>
      <c r="E96" s="23">
        <f>169.1+45.604+41-16.3-1.8</f>
        <v>237.60399999999998</v>
      </c>
      <c r="F96" s="30">
        <v>294.10000000000002</v>
      </c>
      <c r="G96" s="30">
        <f>209.5+1.17-152.8+53.3</f>
        <v>111.16999999999997</v>
      </c>
      <c r="H96" s="30">
        <v>111.3</v>
      </c>
      <c r="I96" s="30">
        <v>111.3</v>
      </c>
      <c r="J96" s="30">
        <v>111.3</v>
      </c>
      <c r="K96" s="23">
        <f t="shared" si="19"/>
        <v>1160.098</v>
      </c>
    </row>
    <row r="97" spans="1:11" s="21" customFormat="1" ht="20.25" customHeight="1">
      <c r="A97" s="76" t="s">
        <v>80</v>
      </c>
      <c r="B97" s="77" t="s">
        <v>81</v>
      </c>
      <c r="C97" s="17" t="s">
        <v>17</v>
      </c>
      <c r="D97" s="28">
        <f t="shared" ref="D97:J97" si="24">SUM(D98:D100)</f>
        <v>105.2</v>
      </c>
      <c r="E97" s="28">
        <f t="shared" si="24"/>
        <v>118.4</v>
      </c>
      <c r="F97" s="28">
        <f t="shared" si="24"/>
        <v>142.5</v>
      </c>
      <c r="G97" s="28">
        <f t="shared" si="24"/>
        <v>153.80000000000001</v>
      </c>
      <c r="H97" s="28">
        <f t="shared" si="24"/>
        <v>126.4</v>
      </c>
      <c r="I97" s="28">
        <f t="shared" si="24"/>
        <v>126.4</v>
      </c>
      <c r="J97" s="28">
        <f t="shared" si="24"/>
        <v>126.4</v>
      </c>
      <c r="K97" s="23">
        <f t="shared" si="19"/>
        <v>899.1</v>
      </c>
    </row>
    <row r="98" spans="1:11" s="21" customFormat="1">
      <c r="A98" s="76"/>
      <c r="B98" s="77"/>
      <c r="C98" s="42" t="s">
        <v>18</v>
      </c>
      <c r="D98" s="30"/>
      <c r="E98" s="30"/>
      <c r="F98" s="30"/>
      <c r="G98" s="30"/>
      <c r="H98" s="30"/>
      <c r="I98" s="30"/>
      <c r="J98" s="30"/>
      <c r="K98" s="23">
        <f t="shared" si="19"/>
        <v>0</v>
      </c>
    </row>
    <row r="99" spans="1:11" s="21" customFormat="1">
      <c r="A99" s="76"/>
      <c r="B99" s="77"/>
      <c r="C99" s="31" t="s">
        <v>19</v>
      </c>
      <c r="D99" s="35"/>
      <c r="E99" s="35"/>
      <c r="F99" s="35"/>
      <c r="G99" s="35"/>
      <c r="H99" s="35"/>
      <c r="I99" s="35"/>
      <c r="J99" s="35"/>
      <c r="K99" s="23">
        <f t="shared" si="19"/>
        <v>0</v>
      </c>
    </row>
    <row r="100" spans="1:11" s="27" customFormat="1" ht="35.450000000000003" customHeight="1">
      <c r="A100" s="76"/>
      <c r="B100" s="77"/>
      <c r="C100" s="31" t="s">
        <v>20</v>
      </c>
      <c r="D100" s="35">
        <v>105.2</v>
      </c>
      <c r="E100" s="35">
        <f>115.4+18.5-12.1-3.4</f>
        <v>118.4</v>
      </c>
      <c r="F100" s="35">
        <f>173.9-61.3+29.9</f>
        <v>142.5</v>
      </c>
      <c r="G100" s="35">
        <f>135.4+18.4</f>
        <v>153.80000000000001</v>
      </c>
      <c r="H100" s="35">
        <v>126.4</v>
      </c>
      <c r="I100" s="35">
        <v>126.4</v>
      </c>
      <c r="J100" s="35">
        <v>126.4</v>
      </c>
      <c r="K100" s="23">
        <f t="shared" si="19"/>
        <v>899.1</v>
      </c>
    </row>
    <row r="101" spans="1:11" s="21" customFormat="1" ht="26.25" customHeight="1">
      <c r="A101" s="56" t="s">
        <v>83</v>
      </c>
      <c r="B101" s="57" t="s">
        <v>84</v>
      </c>
      <c r="C101" s="17" t="s">
        <v>17</v>
      </c>
      <c r="D101" s="18">
        <f t="shared" ref="D101:J101" si="25">SUM(D102:D104)</f>
        <v>10935.29</v>
      </c>
      <c r="E101" s="28">
        <f t="shared" si="25"/>
        <v>11808.13</v>
      </c>
      <c r="F101" s="28">
        <f t="shared" si="25"/>
        <v>13616.9</v>
      </c>
      <c r="G101" s="28">
        <f t="shared" si="25"/>
        <v>14443.099999999999</v>
      </c>
      <c r="H101" s="28">
        <f t="shared" si="25"/>
        <v>14715.8</v>
      </c>
      <c r="I101" s="28">
        <f t="shared" si="25"/>
        <v>14715.8</v>
      </c>
      <c r="J101" s="28">
        <f t="shared" si="25"/>
        <v>14715.8</v>
      </c>
      <c r="K101" s="23">
        <f t="shared" si="19"/>
        <v>94950.82</v>
      </c>
    </row>
    <row r="102" spans="1:11" s="21" customFormat="1">
      <c r="A102" s="56"/>
      <c r="B102" s="57"/>
      <c r="C102" s="42" t="s">
        <v>22</v>
      </c>
      <c r="D102" s="30"/>
      <c r="E102" s="30"/>
      <c r="F102" s="30"/>
      <c r="G102" s="30"/>
      <c r="H102" s="30"/>
      <c r="I102" s="30"/>
      <c r="J102" s="30"/>
      <c r="K102" s="23">
        <f t="shared" si="19"/>
        <v>0</v>
      </c>
    </row>
    <row r="103" spans="1:11" s="21" customFormat="1">
      <c r="A103" s="56"/>
      <c r="B103" s="57"/>
      <c r="C103" s="31" t="s">
        <v>19</v>
      </c>
      <c r="D103" s="35"/>
      <c r="E103" s="35"/>
      <c r="F103" s="35"/>
      <c r="G103" s="35"/>
      <c r="H103" s="35"/>
      <c r="I103" s="35"/>
      <c r="J103" s="35"/>
      <c r="K103" s="23">
        <f t="shared" si="19"/>
        <v>0</v>
      </c>
    </row>
    <row r="104" spans="1:11" s="27" customFormat="1">
      <c r="A104" s="56"/>
      <c r="B104" s="57"/>
      <c r="C104" s="31" t="s">
        <v>20</v>
      </c>
      <c r="D104" s="47">
        <f>10938.314-3.024</f>
        <v>10935.29</v>
      </c>
      <c r="E104" s="48">
        <f t="shared" ref="E104:J104" si="26">SUM(E108+E110)</f>
        <v>11808.13</v>
      </c>
      <c r="F104" s="35">
        <f t="shared" si="26"/>
        <v>13616.9</v>
      </c>
      <c r="G104" s="35">
        <f t="shared" si="26"/>
        <v>14443.099999999999</v>
      </c>
      <c r="H104" s="35">
        <f t="shared" si="26"/>
        <v>14715.8</v>
      </c>
      <c r="I104" s="35">
        <f t="shared" si="26"/>
        <v>14715.8</v>
      </c>
      <c r="J104" s="35">
        <f t="shared" si="26"/>
        <v>14715.8</v>
      </c>
      <c r="K104" s="23">
        <f t="shared" si="19"/>
        <v>94950.82</v>
      </c>
    </row>
    <row r="105" spans="1:11" s="27" customFormat="1" ht="19.350000000000001" customHeight="1">
      <c r="A105" s="56" t="s">
        <v>85</v>
      </c>
      <c r="B105" s="57" t="s">
        <v>86</v>
      </c>
      <c r="C105" s="49" t="s">
        <v>17</v>
      </c>
      <c r="D105" s="50">
        <f t="shared" ref="D105:J105" si="27">SUM(D106:D108)</f>
        <v>1032.19</v>
      </c>
      <c r="E105" s="51">
        <f t="shared" si="27"/>
        <v>1277.2300000000002</v>
      </c>
      <c r="F105" s="52">
        <f t="shared" si="27"/>
        <v>1523.6</v>
      </c>
      <c r="G105" s="52">
        <f t="shared" si="27"/>
        <v>1669.8000000000002</v>
      </c>
      <c r="H105" s="52">
        <f t="shared" si="27"/>
        <v>1358.5</v>
      </c>
      <c r="I105" s="52">
        <f t="shared" si="27"/>
        <v>1358.5</v>
      </c>
      <c r="J105" s="52">
        <f t="shared" si="27"/>
        <v>1358.5</v>
      </c>
      <c r="K105" s="23">
        <f t="shared" si="19"/>
        <v>9578.32</v>
      </c>
    </row>
    <row r="106" spans="1:11" s="27" customFormat="1">
      <c r="A106" s="56"/>
      <c r="B106" s="57"/>
      <c r="C106" s="42" t="s">
        <v>22</v>
      </c>
      <c r="D106" s="43"/>
      <c r="E106" s="35"/>
      <c r="F106" s="35"/>
      <c r="G106" s="35"/>
      <c r="H106" s="35"/>
      <c r="I106" s="35"/>
      <c r="J106" s="35"/>
      <c r="K106" s="23">
        <f t="shared" ref="K106:K110" si="28">SUM(D106:J106)</f>
        <v>0</v>
      </c>
    </row>
    <row r="107" spans="1:11" s="27" customFormat="1">
      <c r="A107" s="56"/>
      <c r="B107" s="57"/>
      <c r="C107" s="31" t="s">
        <v>19</v>
      </c>
      <c r="D107" s="43"/>
      <c r="E107" s="35"/>
      <c r="F107" s="35"/>
      <c r="G107" s="35"/>
      <c r="H107" s="35"/>
      <c r="I107" s="35"/>
      <c r="J107" s="35"/>
      <c r="K107" s="23">
        <f t="shared" si="28"/>
        <v>0</v>
      </c>
    </row>
    <row r="108" spans="1:11" s="27" customFormat="1">
      <c r="A108" s="56"/>
      <c r="B108" s="57"/>
      <c r="C108" s="31" t="s">
        <v>20</v>
      </c>
      <c r="D108" s="43">
        <f>1024.49+10.724-3.024</f>
        <v>1032.19</v>
      </c>
      <c r="E108" s="53">
        <f>1066.8+35.9+44-0.62+27.15+104</f>
        <v>1277.2300000000002</v>
      </c>
      <c r="F108" s="35">
        <v>1523.6</v>
      </c>
      <c r="G108" s="35">
        <f>1350+65.4+170+84.4</f>
        <v>1669.8000000000002</v>
      </c>
      <c r="H108" s="35">
        <v>1358.5</v>
      </c>
      <c r="I108" s="35">
        <v>1358.5</v>
      </c>
      <c r="J108" s="35">
        <v>1358.5</v>
      </c>
      <c r="K108" s="23">
        <f t="shared" si="28"/>
        <v>9578.32</v>
      </c>
    </row>
    <row r="109" spans="1:11" s="27" customFormat="1" ht="39.75" customHeight="1">
      <c r="A109" s="34" t="s">
        <v>87</v>
      </c>
      <c r="B109" s="44" t="s">
        <v>88</v>
      </c>
      <c r="C109" s="49" t="s">
        <v>17</v>
      </c>
      <c r="D109" s="52">
        <f t="shared" ref="D109:J109" si="29">SUM(D110)</f>
        <v>9903.1</v>
      </c>
      <c r="E109" s="52">
        <f t="shared" si="29"/>
        <v>10530.9</v>
      </c>
      <c r="F109" s="52">
        <f t="shared" si="29"/>
        <v>12093.3</v>
      </c>
      <c r="G109" s="52">
        <f t="shared" si="29"/>
        <v>12773.3</v>
      </c>
      <c r="H109" s="52">
        <f t="shared" si="29"/>
        <v>13357.3</v>
      </c>
      <c r="I109" s="52">
        <f t="shared" si="29"/>
        <v>13357.3</v>
      </c>
      <c r="J109" s="52">
        <f t="shared" si="29"/>
        <v>13357.3</v>
      </c>
      <c r="K109" s="23">
        <f t="shared" si="28"/>
        <v>85372.5</v>
      </c>
    </row>
    <row r="110" spans="1:11" s="27" customFormat="1">
      <c r="A110" s="34"/>
      <c r="B110" s="44"/>
      <c r="C110" s="31" t="s">
        <v>20</v>
      </c>
      <c r="D110" s="35">
        <v>9903.1</v>
      </c>
      <c r="E110" s="35">
        <f>10195.6+53+255.4+26.9</f>
        <v>10530.9</v>
      </c>
      <c r="F110" s="35">
        <f>11225.8+530.3+70+205.7+61.5</f>
        <v>12093.3</v>
      </c>
      <c r="G110" s="35">
        <f>12260.2+58+13.8+365-2.5+78.8</f>
        <v>12773.3</v>
      </c>
      <c r="H110" s="35">
        <v>13357.3</v>
      </c>
      <c r="I110" s="35">
        <v>13357.3</v>
      </c>
      <c r="J110" s="35">
        <v>13357.3</v>
      </c>
      <c r="K110" s="23">
        <f t="shared" si="28"/>
        <v>85372.5</v>
      </c>
    </row>
    <row r="114" spans="1:11" ht="18.75" customHeight="1">
      <c r="A114" s="58" t="s">
        <v>89</v>
      </c>
      <c r="B114" s="58"/>
      <c r="C114" s="58"/>
      <c r="D114" s="58"/>
      <c r="E114" s="58"/>
      <c r="F114" s="58"/>
      <c r="G114" s="58"/>
      <c r="H114" s="58"/>
      <c r="I114" s="58"/>
      <c r="J114" s="58"/>
      <c r="K114" s="58"/>
    </row>
  </sheetData>
  <autoFilter ref="A8:K110"/>
  <mergeCells count="75">
    <mergeCell ref="I1:K1"/>
    <mergeCell ref="I2:J2"/>
    <mergeCell ref="I3:K3"/>
    <mergeCell ref="B5:K5"/>
    <mergeCell ref="A7:A8"/>
    <mergeCell ref="B7:B8"/>
    <mergeCell ref="C7:C8"/>
    <mergeCell ref="D7:K7"/>
    <mergeCell ref="A9:A12"/>
    <mergeCell ref="B9:B12"/>
    <mergeCell ref="A13:A16"/>
    <mergeCell ref="B13:B16"/>
    <mergeCell ref="A17:A20"/>
    <mergeCell ref="B17:B20"/>
    <mergeCell ref="A21:A22"/>
    <mergeCell ref="B21:B22"/>
    <mergeCell ref="A23:A24"/>
    <mergeCell ref="B23:B24"/>
    <mergeCell ref="A25:A28"/>
    <mergeCell ref="B25:B28"/>
    <mergeCell ref="A29:A30"/>
    <mergeCell ref="B29:B30"/>
    <mergeCell ref="A31:A32"/>
    <mergeCell ref="B31:B32"/>
    <mergeCell ref="A33:A34"/>
    <mergeCell ref="B33:B34"/>
    <mergeCell ref="A35:A38"/>
    <mergeCell ref="B35:B38"/>
    <mergeCell ref="A39:A42"/>
    <mergeCell ref="B39:B42"/>
    <mergeCell ref="A43:A44"/>
    <mergeCell ref="B43:B44"/>
    <mergeCell ref="A45:A47"/>
    <mergeCell ref="B45:B47"/>
    <mergeCell ref="A48:A50"/>
    <mergeCell ref="B48:B50"/>
    <mergeCell ref="A51:A52"/>
    <mergeCell ref="B51:B52"/>
    <mergeCell ref="A53:A56"/>
    <mergeCell ref="B53:B56"/>
    <mergeCell ref="A57:A58"/>
    <mergeCell ref="B57:B58"/>
    <mergeCell ref="A59:A60"/>
    <mergeCell ref="B59:B60"/>
    <mergeCell ref="A61:A62"/>
    <mergeCell ref="B61:B62"/>
    <mergeCell ref="A63:A66"/>
    <mergeCell ref="B63:B66"/>
    <mergeCell ref="A67:A70"/>
    <mergeCell ref="B67:B70"/>
    <mergeCell ref="A71:A72"/>
    <mergeCell ref="B71:B72"/>
    <mergeCell ref="A73:A76"/>
    <mergeCell ref="B73:B76"/>
    <mergeCell ref="A77:A78"/>
    <mergeCell ref="B77:B78"/>
    <mergeCell ref="A79:A80"/>
    <mergeCell ref="B79:B80"/>
    <mergeCell ref="A81:A83"/>
    <mergeCell ref="B81:B83"/>
    <mergeCell ref="A84:A86"/>
    <mergeCell ref="B84:B86"/>
    <mergeCell ref="A87:A90"/>
    <mergeCell ref="B87:B90"/>
    <mergeCell ref="A91:A92"/>
    <mergeCell ref="B91:B92"/>
    <mergeCell ref="A93:A96"/>
    <mergeCell ref="B93:B96"/>
    <mergeCell ref="A114:K114"/>
    <mergeCell ref="A97:A100"/>
    <mergeCell ref="B97:B100"/>
    <mergeCell ref="A101:A104"/>
    <mergeCell ref="B101:B104"/>
    <mergeCell ref="A105:A108"/>
    <mergeCell ref="B105:B108"/>
  </mergeCells>
  <pageMargins left="0.39374999999999999" right="0.39374999999999999" top="0.59027777777777801" bottom="0.51180555555555496" header="0.51180555555555496" footer="0.51180555555555496"/>
  <pageSetup paperSize="9" scale="50" firstPageNumber="0" orientation="landscape" horizontalDpi="300" verticalDpi="300"/>
  <rowBreaks count="3" manualBreakCount="3">
    <brk id="32" max="16383" man="1"/>
    <brk id="58" max="16383" man="1"/>
    <brk id="90" max="16383" man="1"/>
  </rowBreaks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/>
  <cols>
    <col min="1" max="1025" width="11.5703125"/>
  </cols>
  <sheetData/>
  <pageMargins left="0.39374999999999999" right="0.39374999999999999" top="0.59027777777777801" bottom="0.51180555555555496" header="0.51180555555555496" footer="0.51180555555555496"/>
  <pageSetup paperSize="9" scale="50" firstPageNumber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MJ116"/>
  <sheetViews>
    <sheetView zoomScaleNormal="100" workbookViewId="0"/>
  </sheetViews>
  <sheetFormatPr defaultRowHeight="18.75"/>
  <cols>
    <col min="1" max="1" width="8.42578125" style="1" customWidth="1"/>
    <col min="2" max="2" width="57.42578125" style="2" customWidth="1"/>
    <col min="3" max="3" width="29.5703125" style="2" customWidth="1"/>
    <col min="4" max="4" width="21" style="2" customWidth="1"/>
    <col min="5" max="5" width="23.42578125" style="2" customWidth="1"/>
    <col min="6" max="6" width="23.42578125" style="3" customWidth="1"/>
    <col min="7" max="248" width="8.42578125" style="4" customWidth="1"/>
    <col min="249" max="249" width="5.42578125" style="4" customWidth="1"/>
    <col min="250" max="250" width="18.42578125" style="4" customWidth="1"/>
    <col min="251" max="251" width="38.42578125" style="4" customWidth="1"/>
    <col min="252" max="253" width="35.42578125" style="4" customWidth="1"/>
    <col min="254" max="1019" width="35.42578125" customWidth="1"/>
    <col min="1020" max="1025" width="11.5703125"/>
  </cols>
  <sheetData>
    <row r="1" spans="1:1024" ht="51.2" customHeight="1">
      <c r="A1"/>
      <c r="B1" s="72" t="s">
        <v>3</v>
      </c>
      <c r="C1" s="72"/>
      <c r="D1" s="72"/>
      <c r="E1" s="72"/>
      <c r="F1" s="72"/>
    </row>
    <row r="2" spans="1:1024" s="13" customFormat="1">
      <c r="A2" s="1"/>
      <c r="B2" s="2"/>
      <c r="C2" s="2"/>
      <c r="D2" s="12"/>
      <c r="E2" s="12"/>
      <c r="F2" s="3"/>
      <c r="AMF2"/>
      <c r="AMG2"/>
      <c r="AMH2"/>
      <c r="AMI2"/>
      <c r="AMJ2"/>
    </row>
    <row r="3" spans="1:1024" s="13" customFormat="1" ht="30.75" customHeight="1">
      <c r="A3" s="73" t="s">
        <v>4</v>
      </c>
      <c r="B3" s="74" t="s">
        <v>5</v>
      </c>
      <c r="C3" s="74" t="s">
        <v>6</v>
      </c>
      <c r="D3" s="15"/>
      <c r="E3" s="15"/>
      <c r="F3" s="15"/>
      <c r="AMF3"/>
      <c r="AMG3"/>
      <c r="AMH3"/>
      <c r="AMI3"/>
      <c r="AMJ3"/>
    </row>
    <row r="4" spans="1:1024" s="13" customFormat="1" ht="59.65" customHeight="1">
      <c r="A4" s="73"/>
      <c r="B4" s="74"/>
      <c r="C4" s="74"/>
      <c r="D4" s="14" t="s">
        <v>12</v>
      </c>
      <c r="E4" s="14" t="s">
        <v>93</v>
      </c>
      <c r="F4" s="16" t="s">
        <v>15</v>
      </c>
      <c r="AMF4"/>
      <c r="AMG4"/>
      <c r="AMH4"/>
      <c r="AMI4"/>
      <c r="AMJ4"/>
    </row>
    <row r="5" spans="1:1024" s="21" customFormat="1" ht="27.75" customHeight="1">
      <c r="A5" s="93"/>
      <c r="B5" s="77" t="s">
        <v>16</v>
      </c>
      <c r="C5" s="17" t="s">
        <v>17</v>
      </c>
      <c r="D5" s="20">
        <f>SUM(D6:D8)</f>
        <v>310267.90000000002</v>
      </c>
      <c r="E5" s="20">
        <f>SUM(E6:E8)</f>
        <v>314260.40000000002</v>
      </c>
      <c r="F5" s="54">
        <f t="shared" ref="F5:F36" si="0">E5-D5</f>
        <v>3992.5</v>
      </c>
      <c r="AMF5"/>
      <c r="AMG5"/>
      <c r="AMH5"/>
      <c r="AMI5"/>
      <c r="AMJ5"/>
    </row>
    <row r="6" spans="1:1024" s="21" customFormat="1">
      <c r="A6" s="93"/>
      <c r="B6" s="77"/>
      <c r="C6" s="22" t="s">
        <v>18</v>
      </c>
      <c r="D6" s="24">
        <f>SUM(D10+D84+D90+D98+D104)</f>
        <v>11536.911999999998</v>
      </c>
      <c r="E6" s="24">
        <f>SUM(E10+E84+E90+E98+E104)</f>
        <v>11536.911999999998</v>
      </c>
      <c r="F6" s="54">
        <f t="shared" si="0"/>
        <v>0</v>
      </c>
      <c r="AMF6"/>
      <c r="AMG6"/>
      <c r="AMH6"/>
      <c r="AMI6"/>
      <c r="AMJ6"/>
    </row>
    <row r="7" spans="1:1024" s="21" customFormat="1">
      <c r="A7" s="93"/>
      <c r="B7" s="77"/>
      <c r="C7" s="22" t="s">
        <v>19</v>
      </c>
      <c r="D7" s="24">
        <f>SUM(D11+D85+D95+D102)</f>
        <v>186511.58799999999</v>
      </c>
      <c r="E7" s="24">
        <f>SUM(E11+E85+E95+E102)</f>
        <v>186511.58799999999</v>
      </c>
      <c r="F7" s="54">
        <f t="shared" si="0"/>
        <v>0</v>
      </c>
      <c r="AMF7"/>
      <c r="AMG7"/>
      <c r="AMH7"/>
      <c r="AMI7"/>
      <c r="AMJ7"/>
    </row>
    <row r="8" spans="1:1024" s="27" customFormat="1" ht="23.25" customHeight="1">
      <c r="A8" s="93"/>
      <c r="B8" s="77"/>
      <c r="C8" s="22" t="s">
        <v>20</v>
      </c>
      <c r="D8" s="24">
        <f>SUM(D12+D86+D96+D100+D106)</f>
        <v>112219.4</v>
      </c>
      <c r="E8" s="24">
        <f>SUM(E12+E86+E96+E100+E106)</f>
        <v>116211.9</v>
      </c>
      <c r="F8" s="54">
        <f t="shared" si="0"/>
        <v>3992.5</v>
      </c>
      <c r="AMF8"/>
      <c r="AMG8"/>
      <c r="AMH8"/>
      <c r="AMI8"/>
      <c r="AMJ8"/>
    </row>
    <row r="9" spans="1:1024" s="7" customFormat="1" ht="25.35" customHeight="1">
      <c r="A9" s="76">
        <v>1</v>
      </c>
      <c r="B9" s="77" t="s">
        <v>21</v>
      </c>
      <c r="C9" s="17" t="s">
        <v>17</v>
      </c>
      <c r="D9" s="28">
        <f>SUM(D10:D12)</f>
        <v>282310.40000000002</v>
      </c>
      <c r="E9" s="28">
        <f>SUM(E10:E12)</f>
        <v>286298.40000000002</v>
      </c>
      <c r="F9" s="54">
        <f t="shared" si="0"/>
        <v>3988</v>
      </c>
      <c r="AMF9"/>
      <c r="AMG9"/>
      <c r="AMH9"/>
      <c r="AMI9"/>
      <c r="AMJ9"/>
    </row>
    <row r="10" spans="1:1024" ht="25.5" customHeight="1">
      <c r="A10" s="76"/>
      <c r="B10" s="77"/>
      <c r="C10" s="22" t="s">
        <v>22</v>
      </c>
      <c r="D10" s="28">
        <f>SUM(D14+D22)</f>
        <v>11536.911999999998</v>
      </c>
      <c r="E10" s="28">
        <f>SUM(E14+E22)</f>
        <v>11536.911999999998</v>
      </c>
      <c r="F10" s="54">
        <f t="shared" si="0"/>
        <v>0</v>
      </c>
    </row>
    <row r="11" spans="1:1024" s="7" customFormat="1" ht="23.25" customHeight="1">
      <c r="A11" s="76"/>
      <c r="B11" s="77"/>
      <c r="C11" s="22" t="s">
        <v>23</v>
      </c>
      <c r="D11" s="30">
        <f>SUM(D15+D23+D65+D74+D78)</f>
        <v>173557.58799999999</v>
      </c>
      <c r="E11" s="30">
        <f>SUM(E15+E23+E65+E74+E78)</f>
        <v>173557.58799999999</v>
      </c>
      <c r="F11" s="54">
        <f t="shared" si="0"/>
        <v>0</v>
      </c>
      <c r="AMF11"/>
      <c r="AMG11"/>
      <c r="AMH11"/>
      <c r="AMI11"/>
      <c r="AMJ11"/>
    </row>
    <row r="12" spans="1:1024" s="21" customFormat="1">
      <c r="A12" s="76"/>
      <c r="B12" s="77"/>
      <c r="C12" s="22" t="s">
        <v>20</v>
      </c>
      <c r="D12" s="30">
        <f>SUM(D16+D24+D66+D68+D79)</f>
        <v>97215.9</v>
      </c>
      <c r="E12" s="30">
        <f>SUM(E16+E24+E66+E68+E79)</f>
        <v>101203.9</v>
      </c>
      <c r="F12" s="54">
        <f t="shared" si="0"/>
        <v>3988</v>
      </c>
      <c r="AMF12"/>
      <c r="AMG12"/>
      <c r="AMH12"/>
      <c r="AMI12"/>
      <c r="AMJ12"/>
    </row>
    <row r="13" spans="1:1024" s="7" customFormat="1" ht="19.350000000000001" customHeight="1">
      <c r="A13" s="81" t="s">
        <v>24</v>
      </c>
      <c r="B13" s="84" t="s">
        <v>25</v>
      </c>
      <c r="C13" s="17" t="s">
        <v>17</v>
      </c>
      <c r="D13" s="28">
        <f>SUM(D14:D16)</f>
        <v>170973.09999999998</v>
      </c>
      <c r="E13" s="28">
        <f>SUM(E14:E16)</f>
        <v>174370.09999999998</v>
      </c>
      <c r="F13" s="54">
        <f t="shared" si="0"/>
        <v>3397</v>
      </c>
      <c r="AMF13"/>
      <c r="AMG13"/>
      <c r="AMH13"/>
      <c r="AMI13"/>
      <c r="AMJ13"/>
    </row>
    <row r="14" spans="1:1024" s="7" customFormat="1" ht="26.25" customHeight="1">
      <c r="A14" s="81"/>
      <c r="B14" s="84"/>
      <c r="C14" s="22" t="s">
        <v>18</v>
      </c>
      <c r="D14" s="30"/>
      <c r="E14" s="30"/>
      <c r="F14" s="54">
        <f t="shared" si="0"/>
        <v>0</v>
      </c>
      <c r="AMF14"/>
      <c r="AMG14"/>
      <c r="AMH14"/>
      <c r="AMI14"/>
      <c r="AMJ14"/>
    </row>
    <row r="15" spans="1:1024" s="7" customFormat="1" ht="26.25" customHeight="1">
      <c r="A15" s="81"/>
      <c r="B15" s="84"/>
      <c r="C15" s="31" t="s">
        <v>23</v>
      </c>
      <c r="D15" s="30">
        <v>99710.7</v>
      </c>
      <c r="E15" s="30">
        <v>99710.7</v>
      </c>
      <c r="F15" s="54">
        <f t="shared" si="0"/>
        <v>0</v>
      </c>
      <c r="AMF15"/>
      <c r="AMG15"/>
      <c r="AMH15"/>
      <c r="AMI15"/>
      <c r="AMJ15"/>
    </row>
    <row r="16" spans="1:1024" s="7" customFormat="1" ht="26.25" customHeight="1">
      <c r="A16" s="81"/>
      <c r="B16" s="84"/>
      <c r="C16" s="32" t="s">
        <v>20</v>
      </c>
      <c r="D16" s="30">
        <v>71262.399999999994</v>
      </c>
      <c r="E16" s="30">
        <f>71262.4+3397</f>
        <v>74659.399999999994</v>
      </c>
      <c r="F16" s="54">
        <f t="shared" si="0"/>
        <v>3397</v>
      </c>
      <c r="AMF16"/>
      <c r="AMG16"/>
      <c r="AMH16"/>
      <c r="AMI16"/>
      <c r="AMJ16"/>
    </row>
    <row r="17" spans="1:1024" s="7" customFormat="1" ht="26.85" customHeight="1">
      <c r="A17" s="83" t="s">
        <v>26</v>
      </c>
      <c r="B17" s="79" t="s">
        <v>27</v>
      </c>
      <c r="C17" s="33" t="s">
        <v>17</v>
      </c>
      <c r="D17" s="30">
        <f>SUM(D18)</f>
        <v>1284</v>
      </c>
      <c r="E17" s="30">
        <f>SUM(E18)</f>
        <v>1284</v>
      </c>
      <c r="F17" s="54">
        <f t="shared" si="0"/>
        <v>0</v>
      </c>
      <c r="AMF17"/>
      <c r="AMG17"/>
      <c r="AMH17"/>
      <c r="AMI17"/>
      <c r="AMJ17"/>
    </row>
    <row r="18" spans="1:1024" s="7" customFormat="1" ht="57.4" customHeight="1">
      <c r="A18" s="83"/>
      <c r="B18" s="79"/>
      <c r="C18" s="32" t="s">
        <v>19</v>
      </c>
      <c r="D18" s="30">
        <v>1284</v>
      </c>
      <c r="E18" s="30">
        <v>1284</v>
      </c>
      <c r="F18" s="54">
        <f t="shared" si="0"/>
        <v>0</v>
      </c>
      <c r="AMF18"/>
      <c r="AMG18"/>
      <c r="AMH18"/>
      <c r="AMI18"/>
      <c r="AMJ18"/>
    </row>
    <row r="19" spans="1:1024" s="7" customFormat="1" ht="39.6" customHeight="1">
      <c r="A19" s="83" t="s">
        <v>28</v>
      </c>
      <c r="B19" s="79" t="s">
        <v>29</v>
      </c>
      <c r="C19" s="33" t="s">
        <v>17</v>
      </c>
      <c r="D19" s="30">
        <f>SUM(D20)</f>
        <v>0</v>
      </c>
      <c r="E19" s="30">
        <f>SUM(E20)</f>
        <v>0</v>
      </c>
      <c r="F19" s="54">
        <f t="shared" si="0"/>
        <v>0</v>
      </c>
      <c r="AMF19"/>
      <c r="AMG19"/>
      <c r="AMH19"/>
      <c r="AMI19"/>
      <c r="AMJ19"/>
    </row>
    <row r="20" spans="1:1024" s="7" customFormat="1" ht="39.6" customHeight="1">
      <c r="A20" s="83"/>
      <c r="B20" s="79"/>
      <c r="C20" s="32" t="s">
        <v>19</v>
      </c>
      <c r="D20" s="30">
        <v>0</v>
      </c>
      <c r="E20" s="30">
        <v>0</v>
      </c>
      <c r="F20" s="54">
        <f t="shared" si="0"/>
        <v>0</v>
      </c>
      <c r="AMF20"/>
      <c r="AMG20"/>
      <c r="AMH20"/>
      <c r="AMI20"/>
      <c r="AMJ20"/>
    </row>
    <row r="21" spans="1:1024" s="7" customFormat="1" ht="30.4" customHeight="1">
      <c r="A21" s="56" t="s">
        <v>30</v>
      </c>
      <c r="B21" s="84" t="s">
        <v>31</v>
      </c>
      <c r="C21" s="17" t="s">
        <v>17</v>
      </c>
      <c r="D21" s="29">
        <f>SUM(D22:D24)</f>
        <v>92649.700000000012</v>
      </c>
      <c r="E21" s="29">
        <f>SUM(E22:E24)</f>
        <v>93210.700000000012</v>
      </c>
      <c r="F21" s="54">
        <f t="shared" si="0"/>
        <v>561</v>
      </c>
      <c r="AMF21"/>
      <c r="AMG21"/>
      <c r="AMH21"/>
      <c r="AMI21"/>
      <c r="AMJ21"/>
    </row>
    <row r="22" spans="1:1024" s="7" customFormat="1" ht="25.35" customHeight="1">
      <c r="A22" s="56"/>
      <c r="B22" s="84"/>
      <c r="C22" s="22" t="s">
        <v>18</v>
      </c>
      <c r="D22" s="24">
        <f>D28+D30+D32+D36+D50+D54</f>
        <v>11536.911999999998</v>
      </c>
      <c r="E22" s="24">
        <f>E28+E30+E32+E36+E50+E54</f>
        <v>11536.911999999998</v>
      </c>
      <c r="F22" s="54">
        <f t="shared" si="0"/>
        <v>0</v>
      </c>
      <c r="AMF22"/>
      <c r="AMG22"/>
      <c r="AMH22"/>
      <c r="AMI22"/>
      <c r="AMJ22"/>
    </row>
    <row r="23" spans="1:1024" ht="22.7" customHeight="1">
      <c r="A23" s="56"/>
      <c r="B23" s="84"/>
      <c r="C23" s="22" t="s">
        <v>19</v>
      </c>
      <c r="D23" s="24">
        <v>63846.887999999999</v>
      </c>
      <c r="E23" s="24">
        <v>63846.887999999999</v>
      </c>
      <c r="F23" s="54">
        <f t="shared" si="0"/>
        <v>0</v>
      </c>
    </row>
    <row r="24" spans="1:1024" ht="29.1" customHeight="1">
      <c r="A24" s="56"/>
      <c r="B24" s="84"/>
      <c r="C24" s="22" t="s">
        <v>20</v>
      </c>
      <c r="D24" s="30">
        <v>17265.900000000001</v>
      </c>
      <c r="E24" s="30">
        <f>17265.9+561</f>
        <v>17826.900000000001</v>
      </c>
      <c r="F24" s="54">
        <f t="shared" si="0"/>
        <v>561</v>
      </c>
    </row>
    <row r="25" spans="1:1024" ht="26.65" customHeight="1">
      <c r="A25" s="83" t="s">
        <v>32</v>
      </c>
      <c r="B25" s="92" t="s">
        <v>33</v>
      </c>
      <c r="C25" s="17" t="s">
        <v>17</v>
      </c>
      <c r="D25" s="30">
        <f>SUM(D26)</f>
        <v>219.4</v>
      </c>
      <c r="E25" s="30">
        <f>SUM(E26)</f>
        <v>219.4</v>
      </c>
      <c r="F25" s="54">
        <f t="shared" si="0"/>
        <v>0</v>
      </c>
    </row>
    <row r="26" spans="1:1024" ht="27.75" customHeight="1">
      <c r="A26" s="83"/>
      <c r="B26" s="92"/>
      <c r="C26" s="22" t="s">
        <v>20</v>
      </c>
      <c r="D26" s="30">
        <v>219.4</v>
      </c>
      <c r="E26" s="30">
        <v>219.4</v>
      </c>
      <c r="F26" s="54">
        <f t="shared" si="0"/>
        <v>0</v>
      </c>
    </row>
    <row r="27" spans="1:1024" s="39" customFormat="1" ht="23.85" customHeight="1">
      <c r="A27" s="91" t="s">
        <v>34</v>
      </c>
      <c r="B27" s="67" t="s">
        <v>35</v>
      </c>
      <c r="C27" s="37" t="s">
        <v>17</v>
      </c>
      <c r="D27" s="38">
        <f>SUM(D28)</f>
        <v>0</v>
      </c>
      <c r="E27" s="38">
        <f>SUM(E28)</f>
        <v>0</v>
      </c>
      <c r="F27" s="54">
        <f t="shared" si="0"/>
        <v>0</v>
      </c>
      <c r="AMF27"/>
      <c r="AMG27"/>
      <c r="AMH27"/>
      <c r="AMI27"/>
      <c r="AMJ27"/>
    </row>
    <row r="28" spans="1:1024" s="39" customFormat="1" ht="69.75" customHeight="1">
      <c r="A28" s="91"/>
      <c r="B28" s="67"/>
      <c r="C28" s="40" t="s">
        <v>18</v>
      </c>
      <c r="D28" s="26"/>
      <c r="E28" s="26"/>
      <c r="F28" s="54">
        <f t="shared" si="0"/>
        <v>0</v>
      </c>
      <c r="AMF28"/>
      <c r="AMG28"/>
      <c r="AMH28"/>
      <c r="AMI28"/>
      <c r="AMJ28"/>
    </row>
    <row r="29" spans="1:1024" s="39" customFormat="1" ht="55.5" customHeight="1">
      <c r="A29" s="91" t="s">
        <v>37</v>
      </c>
      <c r="B29" s="67" t="s">
        <v>38</v>
      </c>
      <c r="C29" s="37" t="s">
        <v>17</v>
      </c>
      <c r="D29" s="38">
        <f>SUM(D30)</f>
        <v>8444.7999999999993</v>
      </c>
      <c r="E29" s="38">
        <f>SUM(E30)</f>
        <v>8444.7999999999993</v>
      </c>
      <c r="F29" s="54">
        <f t="shared" si="0"/>
        <v>0</v>
      </c>
      <c r="AMF29"/>
      <c r="AMG29"/>
      <c r="AMH29"/>
      <c r="AMI29"/>
      <c r="AMJ29"/>
    </row>
    <row r="30" spans="1:1024" s="39" customFormat="1" ht="96.6" customHeight="1">
      <c r="A30" s="91"/>
      <c r="B30" s="67"/>
      <c r="C30" s="40" t="s">
        <v>18</v>
      </c>
      <c r="D30" s="26">
        <v>8444.7999999999993</v>
      </c>
      <c r="E30" s="26">
        <v>8444.7999999999993</v>
      </c>
      <c r="F30" s="54">
        <f t="shared" si="0"/>
        <v>0</v>
      </c>
      <c r="AMF30"/>
      <c r="AMG30"/>
      <c r="AMH30"/>
      <c r="AMI30"/>
      <c r="AMJ30"/>
    </row>
    <row r="31" spans="1:1024" s="39" customFormat="1" ht="26.25" customHeight="1">
      <c r="A31" s="83" t="s">
        <v>39</v>
      </c>
      <c r="B31" s="66" t="s">
        <v>40</v>
      </c>
      <c r="C31" s="17" t="s">
        <v>17</v>
      </c>
      <c r="D31" s="23">
        <f>SUM(D32:D34)</f>
        <v>2130.4</v>
      </c>
      <c r="E31" s="23">
        <f>SUM(E32:E34)</f>
        <v>2130.4</v>
      </c>
      <c r="F31" s="54">
        <f t="shared" si="0"/>
        <v>0</v>
      </c>
      <c r="AMF31"/>
      <c r="AMG31"/>
      <c r="AMH31"/>
      <c r="AMI31"/>
      <c r="AMJ31"/>
    </row>
    <row r="32" spans="1:1024" s="39" customFormat="1" ht="26.25" customHeight="1">
      <c r="A32" s="83"/>
      <c r="B32" s="66"/>
      <c r="C32" s="22" t="s">
        <v>18</v>
      </c>
      <c r="D32" s="24">
        <v>1982.46</v>
      </c>
      <c r="E32" s="24">
        <v>1982.46</v>
      </c>
      <c r="F32" s="54">
        <f t="shared" si="0"/>
        <v>0</v>
      </c>
      <c r="AMF32"/>
      <c r="AMG32"/>
      <c r="AMH32"/>
      <c r="AMI32"/>
      <c r="AMJ32"/>
    </row>
    <row r="33" spans="1:1024" s="39" customFormat="1" ht="26.25" customHeight="1">
      <c r="A33" s="83"/>
      <c r="B33" s="66"/>
      <c r="C33" s="22" t="s">
        <v>19</v>
      </c>
      <c r="D33" s="24">
        <v>126.54</v>
      </c>
      <c r="E33" s="24">
        <v>126.54</v>
      </c>
      <c r="F33" s="54">
        <f t="shared" si="0"/>
        <v>0</v>
      </c>
      <c r="AMF33"/>
      <c r="AMG33"/>
      <c r="AMH33"/>
      <c r="AMI33"/>
      <c r="AMJ33"/>
    </row>
    <row r="34" spans="1:1024" s="39" customFormat="1" ht="24.95" customHeight="1">
      <c r="A34" s="83"/>
      <c r="B34" s="66"/>
      <c r="C34" s="22" t="s">
        <v>20</v>
      </c>
      <c r="D34" s="30">
        <v>21.4</v>
      </c>
      <c r="E34" s="30">
        <v>21.4</v>
      </c>
      <c r="F34" s="54">
        <f t="shared" si="0"/>
        <v>0</v>
      </c>
      <c r="AMF34"/>
      <c r="AMG34"/>
      <c r="AMH34"/>
      <c r="AMI34"/>
      <c r="AMJ34"/>
    </row>
    <row r="35" spans="1:1024" s="39" customFormat="1" ht="25.7" customHeight="1">
      <c r="A35" s="83" t="s">
        <v>41</v>
      </c>
      <c r="B35" s="66" t="s">
        <v>42</v>
      </c>
      <c r="C35" s="17" t="s">
        <v>17</v>
      </c>
      <c r="D35" s="30">
        <f>SUM(D36:D38)</f>
        <v>0</v>
      </c>
      <c r="E35" s="30">
        <f>SUM(E36:E38)</f>
        <v>0</v>
      </c>
      <c r="F35" s="54">
        <f t="shared" si="0"/>
        <v>0</v>
      </c>
      <c r="AMF35"/>
      <c r="AMG35"/>
      <c r="AMH35"/>
      <c r="AMI35"/>
      <c r="AMJ35"/>
    </row>
    <row r="36" spans="1:1024" s="39" customFormat="1" ht="25.7" customHeight="1">
      <c r="A36" s="83"/>
      <c r="B36" s="66"/>
      <c r="C36" s="22" t="s">
        <v>18</v>
      </c>
      <c r="D36" s="30">
        <v>0</v>
      </c>
      <c r="E36" s="30">
        <v>0</v>
      </c>
      <c r="F36" s="54">
        <f t="shared" si="0"/>
        <v>0</v>
      </c>
      <c r="AMF36"/>
      <c r="AMG36"/>
      <c r="AMH36"/>
      <c r="AMI36"/>
      <c r="AMJ36"/>
    </row>
    <row r="37" spans="1:1024" s="39" customFormat="1" ht="21" customHeight="1">
      <c r="A37" s="83"/>
      <c r="B37" s="66"/>
      <c r="C37" s="22" t="s">
        <v>19</v>
      </c>
      <c r="D37" s="30">
        <v>0</v>
      </c>
      <c r="E37" s="30">
        <v>0</v>
      </c>
      <c r="F37" s="54">
        <f t="shared" ref="F37:F68" si="1">E37-D37</f>
        <v>0</v>
      </c>
      <c r="AMF37"/>
      <c r="AMG37"/>
      <c r="AMH37"/>
      <c r="AMI37"/>
      <c r="AMJ37"/>
    </row>
    <row r="38" spans="1:1024" s="39" customFormat="1" ht="21" customHeight="1">
      <c r="A38" s="83"/>
      <c r="B38" s="66"/>
      <c r="C38" s="22" t="s">
        <v>20</v>
      </c>
      <c r="D38" s="30">
        <v>0</v>
      </c>
      <c r="E38" s="30">
        <v>0</v>
      </c>
      <c r="F38" s="54">
        <f t="shared" si="1"/>
        <v>0</v>
      </c>
      <c r="AMF38"/>
      <c r="AMG38"/>
      <c r="AMH38"/>
      <c r="AMI38"/>
      <c r="AMJ38"/>
    </row>
    <row r="39" spans="1:1024" s="39" customFormat="1" ht="24.95" customHeight="1">
      <c r="A39" s="91" t="s">
        <v>43</v>
      </c>
      <c r="B39" s="67" t="s">
        <v>44</v>
      </c>
      <c r="C39" s="37" t="s">
        <v>17</v>
      </c>
      <c r="D39" s="30">
        <f>D40</f>
        <v>11.3</v>
      </c>
      <c r="E39" s="30">
        <f>E40</f>
        <v>11.3</v>
      </c>
      <c r="F39" s="54">
        <f t="shared" si="1"/>
        <v>0</v>
      </c>
      <c r="AMF39"/>
      <c r="AMG39"/>
      <c r="AMH39"/>
      <c r="AMI39"/>
      <c r="AMJ39"/>
    </row>
    <row r="40" spans="1:1024" s="39" customFormat="1" ht="24.95" customHeight="1">
      <c r="A40" s="91"/>
      <c r="B40" s="67"/>
      <c r="C40" s="22" t="s">
        <v>19</v>
      </c>
      <c r="D40" s="30">
        <v>11.3</v>
      </c>
      <c r="E40" s="30">
        <v>11.3</v>
      </c>
      <c r="F40" s="54">
        <f t="shared" si="1"/>
        <v>0</v>
      </c>
      <c r="AMF40"/>
      <c r="AMG40"/>
      <c r="AMH40"/>
      <c r="AMI40"/>
      <c r="AMJ40"/>
    </row>
    <row r="41" spans="1:1024" s="39" customFormat="1" ht="24.95" customHeight="1">
      <c r="A41" s="85" t="s">
        <v>45</v>
      </c>
      <c r="B41" s="89" t="s">
        <v>46</v>
      </c>
      <c r="C41" s="17" t="s">
        <v>17</v>
      </c>
      <c r="D41" s="30"/>
      <c r="E41" s="30"/>
      <c r="F41" s="54">
        <f t="shared" si="1"/>
        <v>0</v>
      </c>
      <c r="AMF41"/>
      <c r="AMG41"/>
      <c r="AMH41"/>
      <c r="AMI41"/>
      <c r="AMJ41"/>
    </row>
    <row r="42" spans="1:1024" s="39" customFormat="1" ht="30.4" customHeight="1">
      <c r="A42" s="85"/>
      <c r="B42" s="89"/>
      <c r="C42" s="22" t="s">
        <v>19</v>
      </c>
      <c r="D42" s="30"/>
      <c r="E42" s="30"/>
      <c r="F42" s="54">
        <f t="shared" si="1"/>
        <v>0</v>
      </c>
      <c r="AMF42"/>
      <c r="AMG42"/>
      <c r="AMH42"/>
      <c r="AMI42"/>
      <c r="AMJ42"/>
    </row>
    <row r="43" spans="1:1024" s="39" customFormat="1" ht="46.9" customHeight="1">
      <c r="A43" s="85"/>
      <c r="B43" s="89"/>
      <c r="C43" s="42" t="s">
        <v>20</v>
      </c>
      <c r="D43" s="30"/>
      <c r="E43" s="30"/>
      <c r="F43" s="54">
        <f t="shared" si="1"/>
        <v>0</v>
      </c>
      <c r="AMF43"/>
      <c r="AMG43"/>
      <c r="AMH43"/>
      <c r="AMI43"/>
      <c r="AMJ43"/>
    </row>
    <row r="44" spans="1:1024" s="39" customFormat="1" ht="200.85" customHeight="1">
      <c r="A44" s="81" t="s">
        <v>47</v>
      </c>
      <c r="B44" s="90" t="s">
        <v>48</v>
      </c>
      <c r="C44" s="17" t="s">
        <v>17</v>
      </c>
      <c r="D44" s="30">
        <f>SUM(D45:D46)</f>
        <v>0</v>
      </c>
      <c r="E44" s="30">
        <f>SUM(E45:E46)</f>
        <v>0</v>
      </c>
      <c r="F44" s="54">
        <f t="shared" si="1"/>
        <v>0</v>
      </c>
      <c r="AMF44"/>
      <c r="AMG44"/>
      <c r="AMH44"/>
      <c r="AMI44"/>
      <c r="AMJ44"/>
    </row>
    <row r="45" spans="1:1024" s="39" customFormat="1" ht="32.450000000000003" customHeight="1">
      <c r="A45" s="81"/>
      <c r="B45" s="90"/>
      <c r="C45" s="22" t="s">
        <v>19</v>
      </c>
      <c r="D45" s="30">
        <v>0</v>
      </c>
      <c r="E45" s="30">
        <v>0</v>
      </c>
      <c r="F45" s="54">
        <f t="shared" si="1"/>
        <v>0</v>
      </c>
      <c r="AMF45"/>
      <c r="AMG45"/>
      <c r="AMH45"/>
      <c r="AMI45"/>
      <c r="AMJ45"/>
    </row>
    <row r="46" spans="1:1024" s="39" customFormat="1" ht="60.2" customHeight="1">
      <c r="A46" s="81"/>
      <c r="B46" s="90"/>
      <c r="C46" s="42" t="s">
        <v>20</v>
      </c>
      <c r="D46" s="30">
        <v>0</v>
      </c>
      <c r="E46" s="30">
        <v>0</v>
      </c>
      <c r="F46" s="54">
        <f t="shared" si="1"/>
        <v>0</v>
      </c>
      <c r="AMF46"/>
      <c r="AMG46"/>
      <c r="AMH46"/>
      <c r="AMI46"/>
      <c r="AMJ46"/>
    </row>
    <row r="47" spans="1:1024" s="39" customFormat="1" ht="34.9" customHeight="1">
      <c r="A47" s="83" t="s">
        <v>49</v>
      </c>
      <c r="B47" s="79" t="s">
        <v>50</v>
      </c>
      <c r="C47" s="33" t="s">
        <v>17</v>
      </c>
      <c r="D47" s="30">
        <v>0</v>
      </c>
      <c r="E47" s="30">
        <v>0</v>
      </c>
      <c r="F47" s="54">
        <f t="shared" si="1"/>
        <v>0</v>
      </c>
      <c r="AMF47"/>
      <c r="AMG47"/>
      <c r="AMH47"/>
      <c r="AMI47"/>
      <c r="AMJ47"/>
    </row>
    <row r="48" spans="1:1024" s="39" customFormat="1" ht="34.9" customHeight="1">
      <c r="A48" s="83"/>
      <c r="B48" s="79"/>
      <c r="C48" s="32" t="s">
        <v>19</v>
      </c>
      <c r="D48" s="30">
        <v>0</v>
      </c>
      <c r="E48" s="30">
        <v>0</v>
      </c>
      <c r="F48" s="54">
        <f t="shared" si="1"/>
        <v>0</v>
      </c>
      <c r="AMF48"/>
      <c r="AMG48"/>
      <c r="AMH48"/>
      <c r="AMI48"/>
      <c r="AMJ48"/>
    </row>
    <row r="49" spans="1:1024" s="39" customFormat="1" ht="22.9" customHeight="1">
      <c r="A49" s="83" t="s">
        <v>51</v>
      </c>
      <c r="B49" s="88" t="s">
        <v>52</v>
      </c>
      <c r="C49" s="17" t="s">
        <v>17</v>
      </c>
      <c r="D49" s="23">
        <f>SUM(D50:D52)</f>
        <v>765.00000000000011</v>
      </c>
      <c r="E49" s="23">
        <f>SUM(E50:E52)</f>
        <v>765.00000000000011</v>
      </c>
      <c r="F49" s="54">
        <f t="shared" si="1"/>
        <v>0</v>
      </c>
      <c r="AMF49"/>
      <c r="AMG49"/>
      <c r="AMH49"/>
      <c r="AMI49"/>
      <c r="AMJ49"/>
    </row>
    <row r="50" spans="1:1024" s="39" customFormat="1" ht="22.9" customHeight="1">
      <c r="A50" s="83"/>
      <c r="B50" s="88"/>
      <c r="C50" s="22" t="s">
        <v>18</v>
      </c>
      <c r="D50" s="23">
        <v>749.65200000000004</v>
      </c>
      <c r="E50" s="23">
        <v>749.65200000000004</v>
      </c>
      <c r="F50" s="54">
        <f t="shared" si="1"/>
        <v>0</v>
      </c>
      <c r="AMF50"/>
      <c r="AMG50"/>
      <c r="AMH50"/>
      <c r="AMI50"/>
      <c r="AMJ50"/>
    </row>
    <row r="51" spans="1:1024" s="39" customFormat="1" ht="21" customHeight="1">
      <c r="A51" s="83"/>
      <c r="B51" s="88"/>
      <c r="C51" s="22" t="s">
        <v>19</v>
      </c>
      <c r="D51" s="23">
        <v>7.6479999999999997</v>
      </c>
      <c r="E51" s="23">
        <v>7.6479999999999997</v>
      </c>
      <c r="F51" s="54">
        <f t="shared" si="1"/>
        <v>0</v>
      </c>
      <c r="AMF51"/>
      <c r="AMG51"/>
      <c r="AMH51"/>
      <c r="AMI51"/>
      <c r="AMJ51"/>
    </row>
    <row r="52" spans="1:1024" s="39" customFormat="1" ht="21.95" customHeight="1">
      <c r="A52" s="83"/>
      <c r="B52" s="88"/>
      <c r="C52" s="42" t="s">
        <v>20</v>
      </c>
      <c r="D52" s="23">
        <v>7.7</v>
      </c>
      <c r="E52" s="23">
        <v>7.7</v>
      </c>
      <c r="F52" s="54">
        <f t="shared" si="1"/>
        <v>0</v>
      </c>
      <c r="AMF52"/>
      <c r="AMG52"/>
      <c r="AMH52"/>
      <c r="AMI52"/>
      <c r="AMJ52"/>
    </row>
    <row r="53" spans="1:1024" s="39" customFormat="1" ht="35.25" customHeight="1">
      <c r="A53" s="85" t="s">
        <v>53</v>
      </c>
      <c r="B53" s="86" t="s">
        <v>54</v>
      </c>
      <c r="C53" s="33" t="s">
        <v>17</v>
      </c>
      <c r="D53" s="23">
        <f>D54</f>
        <v>360</v>
      </c>
      <c r="E53" s="23">
        <f>E54</f>
        <v>360</v>
      </c>
      <c r="F53" s="54">
        <f t="shared" si="1"/>
        <v>0</v>
      </c>
      <c r="AMF53"/>
      <c r="AMG53"/>
      <c r="AMH53"/>
      <c r="AMI53"/>
      <c r="AMJ53"/>
    </row>
    <row r="54" spans="1:1024" s="39" customFormat="1" ht="52.35" customHeight="1">
      <c r="A54" s="85"/>
      <c r="B54" s="86"/>
      <c r="C54" s="32" t="s">
        <v>18</v>
      </c>
      <c r="D54" s="23">
        <v>360</v>
      </c>
      <c r="E54" s="23">
        <v>360</v>
      </c>
      <c r="F54" s="54">
        <f t="shared" si="1"/>
        <v>0</v>
      </c>
      <c r="AMF54"/>
      <c r="AMG54"/>
      <c r="AMH54"/>
      <c r="AMI54"/>
      <c r="AMJ54"/>
    </row>
    <row r="55" spans="1:1024" s="39" customFormat="1" ht="22.9" customHeight="1">
      <c r="A55" s="85" t="s">
        <v>55</v>
      </c>
      <c r="B55" s="86" t="s">
        <v>56</v>
      </c>
      <c r="C55" s="17" t="s">
        <v>17</v>
      </c>
      <c r="D55" s="23">
        <f>D56</f>
        <v>116.4</v>
      </c>
      <c r="E55" s="23">
        <f>E56</f>
        <v>116.4</v>
      </c>
      <c r="F55" s="54">
        <f t="shared" si="1"/>
        <v>0</v>
      </c>
      <c r="AMF55"/>
      <c r="AMG55"/>
      <c r="AMH55"/>
      <c r="AMI55"/>
      <c r="AMJ55"/>
    </row>
    <row r="56" spans="1:1024" s="39" customFormat="1" ht="27.4" customHeight="1">
      <c r="A56" s="85"/>
      <c r="B56" s="86"/>
      <c r="C56" s="22" t="s">
        <v>19</v>
      </c>
      <c r="D56" s="23">
        <v>116.4</v>
      </c>
      <c r="E56" s="23">
        <v>116.4</v>
      </c>
      <c r="F56" s="54">
        <f t="shared" si="1"/>
        <v>0</v>
      </c>
      <c r="AMF56"/>
      <c r="AMG56"/>
      <c r="AMH56"/>
      <c r="AMI56"/>
      <c r="AMJ56"/>
    </row>
    <row r="57" spans="1:1024" s="39" customFormat="1" ht="69.400000000000006" customHeight="1">
      <c r="A57" s="85" t="s">
        <v>57</v>
      </c>
      <c r="B57" s="86" t="s">
        <v>58</v>
      </c>
      <c r="C57" s="17" t="s">
        <v>17</v>
      </c>
      <c r="D57" s="23">
        <f>D58</f>
        <v>123</v>
      </c>
      <c r="E57" s="23">
        <f>E58</f>
        <v>123</v>
      </c>
      <c r="F57" s="54">
        <f t="shared" si="1"/>
        <v>0</v>
      </c>
      <c r="AMF57"/>
      <c r="AMG57"/>
      <c r="AMH57"/>
      <c r="AMI57"/>
      <c r="AMJ57"/>
    </row>
    <row r="58" spans="1:1024" s="39" customFormat="1" ht="105.95" customHeight="1">
      <c r="A58" s="85"/>
      <c r="B58" s="86"/>
      <c r="C58" s="22" t="s">
        <v>19</v>
      </c>
      <c r="D58" s="23">
        <v>123</v>
      </c>
      <c r="E58" s="23">
        <v>123</v>
      </c>
      <c r="F58" s="54">
        <f t="shared" si="1"/>
        <v>0</v>
      </c>
      <c r="AMF58"/>
      <c r="AMG58"/>
      <c r="AMH58"/>
      <c r="AMI58"/>
      <c r="AMJ58"/>
    </row>
    <row r="59" spans="1:1024" s="39" customFormat="1" ht="25.5" customHeight="1">
      <c r="A59" s="81" t="s">
        <v>59</v>
      </c>
      <c r="B59" s="87" t="s">
        <v>60</v>
      </c>
      <c r="C59" s="17" t="s">
        <v>17</v>
      </c>
      <c r="D59" s="30"/>
      <c r="E59" s="30"/>
      <c r="F59" s="54">
        <f t="shared" si="1"/>
        <v>0</v>
      </c>
      <c r="AMF59"/>
      <c r="AMG59"/>
      <c r="AMH59"/>
      <c r="AMI59"/>
      <c r="AMJ59"/>
    </row>
    <row r="60" spans="1:1024" s="39" customFormat="1" ht="28.7" customHeight="1">
      <c r="A60" s="81"/>
      <c r="B60" s="87"/>
      <c r="C60" s="42" t="s">
        <v>22</v>
      </c>
      <c r="D60" s="30"/>
      <c r="E60" s="30"/>
      <c r="F60" s="54">
        <f t="shared" si="1"/>
        <v>0</v>
      </c>
      <c r="AMF60"/>
      <c r="AMG60"/>
      <c r="AMH60"/>
      <c r="AMI60"/>
      <c r="AMJ60"/>
    </row>
    <row r="61" spans="1:1024" s="39" customFormat="1" ht="24.6" customHeight="1">
      <c r="A61" s="81"/>
      <c r="B61" s="87"/>
      <c r="C61" s="31" t="s">
        <v>19</v>
      </c>
      <c r="D61" s="30"/>
      <c r="E61" s="30"/>
      <c r="F61" s="54">
        <f t="shared" si="1"/>
        <v>0</v>
      </c>
      <c r="AMF61"/>
      <c r="AMG61"/>
      <c r="AMH61"/>
      <c r="AMI61"/>
      <c r="AMJ61"/>
    </row>
    <row r="62" spans="1:1024" s="39" customFormat="1" ht="36.200000000000003" customHeight="1">
      <c r="A62" s="81"/>
      <c r="B62" s="87"/>
      <c r="C62" s="31" t="s">
        <v>20</v>
      </c>
      <c r="D62" s="30"/>
      <c r="E62" s="30"/>
      <c r="F62" s="54">
        <f t="shared" si="1"/>
        <v>0</v>
      </c>
      <c r="AMF62"/>
      <c r="AMG62"/>
      <c r="AMH62"/>
      <c r="AMI62"/>
      <c r="AMJ62"/>
    </row>
    <row r="63" spans="1:1024" s="21" customFormat="1" ht="19.350000000000001" customHeight="1">
      <c r="A63" s="83" t="s">
        <v>61</v>
      </c>
      <c r="B63" s="84" t="s">
        <v>62</v>
      </c>
      <c r="C63" s="17" t="s">
        <v>17</v>
      </c>
      <c r="D63" s="28">
        <f>SUM(D64:D66)</f>
        <v>18687.599999999999</v>
      </c>
      <c r="E63" s="28">
        <f>SUM(E64:E66)</f>
        <v>18717.599999999999</v>
      </c>
      <c r="F63" s="54">
        <f t="shared" si="1"/>
        <v>30</v>
      </c>
      <c r="AMF63"/>
      <c r="AMG63"/>
      <c r="AMH63"/>
      <c r="AMI63"/>
      <c r="AMJ63"/>
    </row>
    <row r="64" spans="1:1024" s="21" customFormat="1" ht="23.45" customHeight="1">
      <c r="A64" s="83"/>
      <c r="B64" s="84"/>
      <c r="C64" s="22" t="s">
        <v>18</v>
      </c>
      <c r="D64" s="30"/>
      <c r="E64" s="30"/>
      <c r="F64" s="54">
        <f t="shared" si="1"/>
        <v>0</v>
      </c>
      <c r="AMF64"/>
      <c r="AMG64"/>
      <c r="AMH64"/>
      <c r="AMI64"/>
      <c r="AMJ64"/>
    </row>
    <row r="65" spans="1:1024" s="27" customFormat="1" ht="24.95" customHeight="1">
      <c r="A65" s="83"/>
      <c r="B65" s="84"/>
      <c r="C65" s="22" t="s">
        <v>19</v>
      </c>
      <c r="D65" s="30">
        <v>10000</v>
      </c>
      <c r="E65" s="30">
        <v>10000</v>
      </c>
      <c r="F65" s="54">
        <f t="shared" si="1"/>
        <v>0</v>
      </c>
      <c r="AMF65"/>
      <c r="AMG65"/>
      <c r="AMH65"/>
      <c r="AMI65"/>
      <c r="AMJ65"/>
    </row>
    <row r="66" spans="1:1024" s="7" customFormat="1">
      <c r="A66" s="83"/>
      <c r="B66" s="84"/>
      <c r="C66" s="42" t="s">
        <v>20</v>
      </c>
      <c r="D66" s="30">
        <v>8687.6</v>
      </c>
      <c r="E66" s="30">
        <f>8687.6+30</f>
        <v>8717.6</v>
      </c>
      <c r="F66" s="54">
        <f t="shared" si="1"/>
        <v>30</v>
      </c>
      <c r="AMF66"/>
      <c r="AMG66"/>
      <c r="AMH66"/>
      <c r="AMI66"/>
      <c r="AMJ66"/>
    </row>
    <row r="67" spans="1:1024" s="7" customFormat="1" ht="32.65" customHeight="1">
      <c r="A67" s="83" t="s">
        <v>63</v>
      </c>
      <c r="B67" s="79" t="s">
        <v>64</v>
      </c>
      <c r="C67" s="42" t="s">
        <v>17</v>
      </c>
      <c r="D67" s="28">
        <f>SUM(D68)</f>
        <v>0</v>
      </c>
      <c r="E67" s="28">
        <f>SUM(E68)</f>
        <v>0</v>
      </c>
      <c r="F67" s="54">
        <f t="shared" si="1"/>
        <v>0</v>
      </c>
      <c r="AMF67"/>
      <c r="AMG67"/>
      <c r="AMH67"/>
      <c r="AMI67"/>
      <c r="AMJ67"/>
    </row>
    <row r="68" spans="1:1024" s="7" customFormat="1" ht="30.4" customHeight="1">
      <c r="A68" s="83"/>
      <c r="B68" s="79"/>
      <c r="C68" s="42" t="s">
        <v>20</v>
      </c>
      <c r="D68" s="30">
        <v>0</v>
      </c>
      <c r="E68" s="30">
        <v>0</v>
      </c>
      <c r="F68" s="54">
        <f t="shared" si="1"/>
        <v>0</v>
      </c>
      <c r="AMF68"/>
      <c r="AMG68"/>
      <c r="AMH68"/>
      <c r="AMI68"/>
      <c r="AMJ68"/>
    </row>
    <row r="69" spans="1:1024" s="7" customFormat="1" ht="34.9" customHeight="1">
      <c r="A69" s="83" t="s">
        <v>65</v>
      </c>
      <c r="B69" s="84" t="s">
        <v>66</v>
      </c>
      <c r="C69" s="17" t="s">
        <v>17</v>
      </c>
      <c r="D69" s="28">
        <f>SUM(D70:D72)</f>
        <v>0</v>
      </c>
      <c r="E69" s="28">
        <f>SUM(E70:E72)</f>
        <v>0</v>
      </c>
      <c r="F69" s="54">
        <f t="shared" ref="F69:F100" si="2">E69-D69</f>
        <v>0</v>
      </c>
      <c r="AMF69"/>
      <c r="AMG69"/>
      <c r="AMH69"/>
      <c r="AMI69"/>
      <c r="AMJ69"/>
    </row>
    <row r="70" spans="1:1024" s="7" customFormat="1" ht="36.200000000000003" customHeight="1">
      <c r="A70" s="83"/>
      <c r="B70" s="84"/>
      <c r="C70" s="22" t="s">
        <v>18</v>
      </c>
      <c r="D70" s="30"/>
      <c r="E70" s="30"/>
      <c r="F70" s="54">
        <f t="shared" si="2"/>
        <v>0</v>
      </c>
      <c r="AMF70"/>
      <c r="AMG70"/>
      <c r="AMH70"/>
      <c r="AMI70"/>
      <c r="AMJ70"/>
    </row>
    <row r="71" spans="1:1024" s="7" customFormat="1" ht="37.35" customHeight="1">
      <c r="A71" s="83"/>
      <c r="B71" s="84"/>
      <c r="C71" s="22" t="s">
        <v>19</v>
      </c>
      <c r="D71" s="30">
        <v>0</v>
      </c>
      <c r="E71" s="30">
        <v>0</v>
      </c>
      <c r="F71" s="54">
        <f t="shared" si="2"/>
        <v>0</v>
      </c>
      <c r="AMF71"/>
      <c r="AMG71"/>
      <c r="AMH71"/>
      <c r="AMI71"/>
      <c r="AMJ71"/>
    </row>
    <row r="72" spans="1:1024" s="7" customFormat="1" ht="27.75" customHeight="1">
      <c r="A72" s="83"/>
      <c r="B72" s="84"/>
      <c r="C72" s="31" t="s">
        <v>20</v>
      </c>
      <c r="D72" s="30">
        <v>0</v>
      </c>
      <c r="E72" s="30">
        <v>0</v>
      </c>
      <c r="F72" s="54">
        <f t="shared" si="2"/>
        <v>0</v>
      </c>
      <c r="AMF72"/>
      <c r="AMG72"/>
      <c r="AMH72"/>
      <c r="AMI72"/>
      <c r="AMJ72"/>
    </row>
    <row r="73" spans="1:1024" s="7" customFormat="1" ht="31.5" customHeight="1">
      <c r="A73" s="83" t="s">
        <v>67</v>
      </c>
      <c r="B73" s="79" t="s">
        <v>68</v>
      </c>
      <c r="C73" s="17" t="s">
        <v>17</v>
      </c>
      <c r="D73" s="28">
        <f>SUM(D74)</f>
        <v>0</v>
      </c>
      <c r="E73" s="28">
        <f>SUM(E74)</f>
        <v>0</v>
      </c>
      <c r="F73" s="54">
        <f t="shared" si="2"/>
        <v>0</v>
      </c>
      <c r="AMF73"/>
      <c r="AMG73"/>
      <c r="AMH73"/>
      <c r="AMI73"/>
      <c r="AMJ73"/>
    </row>
    <row r="74" spans="1:1024" s="7" customFormat="1" ht="20.100000000000001" customHeight="1">
      <c r="A74" s="83"/>
      <c r="B74" s="79"/>
      <c r="C74" s="42" t="s">
        <v>23</v>
      </c>
      <c r="D74" s="30"/>
      <c r="E74" s="30"/>
      <c r="F74" s="54">
        <f t="shared" si="2"/>
        <v>0</v>
      </c>
      <c r="AMF74"/>
      <c r="AMG74"/>
      <c r="AMH74"/>
      <c r="AMI74"/>
      <c r="AMJ74"/>
    </row>
    <row r="75" spans="1:1024" s="7" customFormat="1" ht="20.100000000000001" customHeight="1">
      <c r="A75" s="81"/>
      <c r="B75" s="79" t="s">
        <v>69</v>
      </c>
      <c r="C75" s="17" t="s">
        <v>17</v>
      </c>
      <c r="D75" s="28">
        <f>D76</f>
        <v>0</v>
      </c>
      <c r="E75" s="28">
        <f>E76</f>
        <v>0</v>
      </c>
      <c r="F75" s="54">
        <f t="shared" si="2"/>
        <v>0</v>
      </c>
      <c r="AMF75"/>
      <c r="AMG75"/>
      <c r="AMH75"/>
      <c r="AMI75"/>
      <c r="AMJ75"/>
    </row>
    <row r="76" spans="1:1024" s="7" customFormat="1" ht="20.100000000000001" customHeight="1">
      <c r="A76" s="81"/>
      <c r="B76" s="79"/>
      <c r="C76" s="42" t="s">
        <v>23</v>
      </c>
      <c r="D76" s="30">
        <v>0</v>
      </c>
      <c r="E76" s="30">
        <v>0</v>
      </c>
      <c r="F76" s="54">
        <f t="shared" si="2"/>
        <v>0</v>
      </c>
      <c r="AMF76"/>
      <c r="AMG76"/>
      <c r="AMH76"/>
      <c r="AMI76"/>
      <c r="AMJ76"/>
    </row>
    <row r="77" spans="1:1024" s="7" customFormat="1" ht="54.6" customHeight="1">
      <c r="A77" s="81" t="s">
        <v>70</v>
      </c>
      <c r="B77" s="82" t="s">
        <v>71</v>
      </c>
      <c r="C77" s="17" t="s">
        <v>17</v>
      </c>
      <c r="D77" s="30">
        <f>SUM(D78:D79)</f>
        <v>0</v>
      </c>
      <c r="E77" s="30">
        <f>SUM(E78:E79)</f>
        <v>0</v>
      </c>
      <c r="F77" s="54">
        <f t="shared" si="2"/>
        <v>0</v>
      </c>
      <c r="AMF77"/>
      <c r="AMG77"/>
      <c r="AMH77"/>
      <c r="AMI77"/>
      <c r="AMJ77"/>
    </row>
    <row r="78" spans="1:1024" s="7" customFormat="1" ht="30.2" customHeight="1">
      <c r="A78" s="81"/>
      <c r="B78" s="82"/>
      <c r="C78" s="22" t="s">
        <v>19</v>
      </c>
      <c r="D78" s="30"/>
      <c r="E78" s="30"/>
      <c r="F78" s="54">
        <f t="shared" si="2"/>
        <v>0</v>
      </c>
      <c r="AMF78"/>
      <c r="AMG78"/>
      <c r="AMH78"/>
      <c r="AMI78"/>
      <c r="AMJ78"/>
    </row>
    <row r="79" spans="1:1024" s="7" customFormat="1" ht="52.9" customHeight="1">
      <c r="A79" s="81"/>
      <c r="B79" s="82"/>
      <c r="C79" s="42" t="s">
        <v>20</v>
      </c>
      <c r="D79" s="30"/>
      <c r="E79" s="30"/>
      <c r="F79" s="54">
        <f t="shared" si="2"/>
        <v>0</v>
      </c>
      <c r="AMF79"/>
      <c r="AMG79"/>
      <c r="AMH79"/>
      <c r="AMI79"/>
      <c r="AMJ79"/>
    </row>
    <row r="80" spans="1:1024" s="7" customFormat="1" ht="23.65" customHeight="1">
      <c r="A80" s="81"/>
      <c r="B80" s="82" t="s">
        <v>72</v>
      </c>
      <c r="C80" s="17" t="s">
        <v>17</v>
      </c>
      <c r="D80" s="30">
        <f>SUM(D81:D82)</f>
        <v>0</v>
      </c>
      <c r="E80" s="30">
        <f>SUM(E81:E82)</f>
        <v>0</v>
      </c>
      <c r="F80" s="54">
        <f t="shared" si="2"/>
        <v>0</v>
      </c>
      <c r="AMF80"/>
      <c r="AMG80"/>
      <c r="AMH80"/>
      <c r="AMI80"/>
      <c r="AMJ80"/>
    </row>
    <row r="81" spans="1:1024" s="7" customFormat="1" ht="26.1" customHeight="1">
      <c r="A81" s="81"/>
      <c r="B81" s="82"/>
      <c r="C81" s="22" t="s">
        <v>19</v>
      </c>
      <c r="D81" s="30"/>
      <c r="E81" s="30"/>
      <c r="F81" s="54">
        <f t="shared" si="2"/>
        <v>0</v>
      </c>
      <c r="AMF81"/>
      <c r="AMG81"/>
      <c r="AMH81"/>
      <c r="AMI81"/>
      <c r="AMJ81"/>
    </row>
    <row r="82" spans="1:1024" s="7" customFormat="1" ht="51" customHeight="1">
      <c r="A82" s="81"/>
      <c r="B82" s="82"/>
      <c r="C82" s="42" t="s">
        <v>20</v>
      </c>
      <c r="D82" s="30"/>
      <c r="E82" s="30"/>
      <c r="F82" s="54">
        <f t="shared" si="2"/>
        <v>0</v>
      </c>
      <c r="AMF82"/>
      <c r="AMG82"/>
      <c r="AMH82"/>
      <c r="AMI82"/>
      <c r="AMJ82"/>
    </row>
    <row r="83" spans="1:1024" s="21" customFormat="1" ht="27.75" customHeight="1">
      <c r="A83" s="56" t="s">
        <v>73</v>
      </c>
      <c r="B83" s="57" t="s">
        <v>74</v>
      </c>
      <c r="C83" s="17" t="s">
        <v>17</v>
      </c>
      <c r="D83" s="28">
        <f>SUM(D84:D86)</f>
        <v>11672</v>
      </c>
      <c r="E83" s="28">
        <f>SUM(E84:E86)</f>
        <v>11672</v>
      </c>
      <c r="F83" s="54">
        <f t="shared" si="2"/>
        <v>0</v>
      </c>
      <c r="AMF83"/>
      <c r="AMG83"/>
      <c r="AMH83"/>
      <c r="AMI83"/>
      <c r="AMJ83"/>
    </row>
    <row r="84" spans="1:1024" s="21" customFormat="1">
      <c r="A84" s="56"/>
      <c r="B84" s="57"/>
      <c r="C84" s="42" t="s">
        <v>22</v>
      </c>
      <c r="D84" s="30"/>
      <c r="E84" s="30"/>
      <c r="F84" s="54">
        <f t="shared" si="2"/>
        <v>0</v>
      </c>
      <c r="AMF84"/>
      <c r="AMG84"/>
      <c r="AMH84"/>
      <c r="AMI84"/>
      <c r="AMJ84"/>
    </row>
    <row r="85" spans="1:1024" s="21" customFormat="1">
      <c r="A85" s="56"/>
      <c r="B85" s="57"/>
      <c r="C85" s="31" t="s">
        <v>19</v>
      </c>
      <c r="D85" s="30">
        <v>11622</v>
      </c>
      <c r="E85" s="30">
        <v>11622</v>
      </c>
      <c r="F85" s="54">
        <f t="shared" si="2"/>
        <v>0</v>
      </c>
      <c r="AMF85"/>
      <c r="AMG85"/>
      <c r="AMH85"/>
      <c r="AMI85"/>
      <c r="AMJ85"/>
    </row>
    <row r="86" spans="1:1024" s="27" customFormat="1">
      <c r="A86" s="56"/>
      <c r="B86" s="57"/>
      <c r="C86" s="31" t="s">
        <v>20</v>
      </c>
      <c r="D86" s="45">
        <v>50</v>
      </c>
      <c r="E86" s="45">
        <v>50</v>
      </c>
      <c r="F86" s="54">
        <f t="shared" si="2"/>
        <v>0</v>
      </c>
      <c r="AMF86"/>
      <c r="AMG86"/>
      <c r="AMH86"/>
      <c r="AMI86"/>
      <c r="AMJ86"/>
    </row>
    <row r="87" spans="1:1024" s="21" customFormat="1" ht="25.35" customHeight="1">
      <c r="A87" s="56" t="s">
        <v>75</v>
      </c>
      <c r="B87" s="80" t="s">
        <v>76</v>
      </c>
      <c r="C87" s="17" t="s">
        <v>17</v>
      </c>
      <c r="D87" s="28">
        <f>SUM(D88:D88)</f>
        <v>11622</v>
      </c>
      <c r="E87" s="28">
        <f>SUM(E88:E88)</f>
        <v>11622</v>
      </c>
      <c r="F87" s="54">
        <f t="shared" si="2"/>
        <v>0</v>
      </c>
      <c r="AMF87"/>
      <c r="AMG87"/>
      <c r="AMH87"/>
      <c r="AMI87"/>
      <c r="AMJ87"/>
    </row>
    <row r="88" spans="1:1024" s="27" customFormat="1" ht="37.35" customHeight="1">
      <c r="A88" s="56"/>
      <c r="B88" s="80"/>
      <c r="C88" s="22" t="s">
        <v>19</v>
      </c>
      <c r="D88" s="30">
        <v>11622</v>
      </c>
      <c r="E88" s="30">
        <v>11622</v>
      </c>
      <c r="F88" s="54">
        <f t="shared" si="2"/>
        <v>0</v>
      </c>
      <c r="AMF88"/>
      <c r="AMG88"/>
      <c r="AMH88"/>
      <c r="AMI88"/>
      <c r="AMJ88"/>
    </row>
    <row r="89" spans="1:1024" s="21" customFormat="1" ht="19.350000000000001" customHeight="1">
      <c r="A89" s="56" t="s">
        <v>77</v>
      </c>
      <c r="B89" s="57" t="s">
        <v>78</v>
      </c>
      <c r="C89" s="17" t="s">
        <v>17</v>
      </c>
      <c r="D89" s="28">
        <f>SUM(D90:D92)</f>
        <v>0</v>
      </c>
      <c r="E89" s="28">
        <f>SUM(E90:E92)</f>
        <v>0</v>
      </c>
      <c r="F89" s="54">
        <f t="shared" si="2"/>
        <v>0</v>
      </c>
      <c r="AMF89"/>
      <c r="AMG89"/>
      <c r="AMH89"/>
      <c r="AMI89"/>
      <c r="AMJ89"/>
    </row>
    <row r="90" spans="1:1024" s="21" customFormat="1" ht="22.7" customHeight="1">
      <c r="A90" s="56"/>
      <c r="B90" s="57"/>
      <c r="C90" s="22" t="s">
        <v>18</v>
      </c>
      <c r="D90" s="30"/>
      <c r="E90" s="30"/>
      <c r="F90" s="54">
        <f t="shared" si="2"/>
        <v>0</v>
      </c>
      <c r="AMF90"/>
      <c r="AMG90"/>
      <c r="AMH90"/>
      <c r="AMI90"/>
      <c r="AMJ90"/>
    </row>
    <row r="91" spans="1:1024" s="27" customFormat="1" ht="25.35" customHeight="1">
      <c r="A91" s="56"/>
      <c r="B91" s="57"/>
      <c r="C91" s="22" t="s">
        <v>19</v>
      </c>
      <c r="D91" s="30"/>
      <c r="E91" s="30"/>
      <c r="F91" s="54">
        <f t="shared" si="2"/>
        <v>0</v>
      </c>
      <c r="AMF91"/>
      <c r="AMG91"/>
      <c r="AMH91"/>
      <c r="AMI91"/>
      <c r="AMJ91"/>
    </row>
    <row r="92" spans="1:1024" s="27" customFormat="1" ht="39.6" customHeight="1">
      <c r="A92" s="56"/>
      <c r="B92" s="57"/>
      <c r="C92" s="22" t="s">
        <v>20</v>
      </c>
      <c r="D92" s="30"/>
      <c r="E92" s="30"/>
      <c r="F92" s="54">
        <f t="shared" si="2"/>
        <v>0</v>
      </c>
      <c r="AMF92"/>
      <c r="AMG92"/>
      <c r="AMH92"/>
      <c r="AMI92"/>
      <c r="AMJ92"/>
    </row>
    <row r="93" spans="1:1024" s="27" customFormat="1" ht="17.45" customHeight="1">
      <c r="A93" s="59"/>
      <c r="B93" s="57" t="s">
        <v>90</v>
      </c>
      <c r="C93" s="17" t="s">
        <v>17</v>
      </c>
      <c r="D93" s="28">
        <f>SUM(D94:D96)</f>
        <v>643.29999999999995</v>
      </c>
      <c r="E93" s="28">
        <f>SUM(E94:E96)</f>
        <v>643.29999999999995</v>
      </c>
      <c r="F93" s="54">
        <f t="shared" si="2"/>
        <v>0</v>
      </c>
      <c r="AMF93"/>
      <c r="AMG93"/>
      <c r="AMH93"/>
      <c r="AMI93"/>
      <c r="AMJ93"/>
    </row>
    <row r="94" spans="1:1024" s="27" customFormat="1">
      <c r="A94" s="59"/>
      <c r="B94" s="57"/>
      <c r="C94" s="22" t="s">
        <v>18</v>
      </c>
      <c r="D94" s="30"/>
      <c r="E94" s="30"/>
      <c r="F94" s="54">
        <f t="shared" si="2"/>
        <v>0</v>
      </c>
      <c r="AMF94"/>
      <c r="AMG94"/>
      <c r="AMH94"/>
      <c r="AMI94"/>
      <c r="AMJ94"/>
    </row>
    <row r="95" spans="1:1024" s="27" customFormat="1" ht="30" customHeight="1">
      <c r="A95" s="59"/>
      <c r="B95" s="57"/>
      <c r="C95" s="22" t="s">
        <v>19</v>
      </c>
      <c r="D95" s="30">
        <v>532</v>
      </c>
      <c r="E95" s="30">
        <v>532</v>
      </c>
      <c r="F95" s="54">
        <f t="shared" si="2"/>
        <v>0</v>
      </c>
      <c r="AMF95"/>
      <c r="AMG95"/>
      <c r="AMH95"/>
      <c r="AMI95"/>
      <c r="AMJ95"/>
    </row>
    <row r="96" spans="1:1024" s="27" customFormat="1" ht="44.45" customHeight="1">
      <c r="A96" s="59"/>
      <c r="B96" s="57"/>
      <c r="C96" s="22" t="s">
        <v>20</v>
      </c>
      <c r="D96" s="30">
        <v>111.3</v>
      </c>
      <c r="E96" s="30">
        <v>111.3</v>
      </c>
      <c r="F96" s="54">
        <f t="shared" si="2"/>
        <v>0</v>
      </c>
      <c r="AMF96"/>
      <c r="AMG96"/>
      <c r="AMH96"/>
      <c r="AMI96"/>
      <c r="AMJ96"/>
    </row>
    <row r="97" spans="1:1024" s="21" customFormat="1" ht="20.25" customHeight="1">
      <c r="A97" s="76" t="s">
        <v>80</v>
      </c>
      <c r="B97" s="77" t="s">
        <v>81</v>
      </c>
      <c r="C97" s="17" t="s">
        <v>17</v>
      </c>
      <c r="D97" s="28">
        <f>SUM(D98:D100)</f>
        <v>126.4</v>
      </c>
      <c r="E97" s="28">
        <f>SUM(E98:E100)</f>
        <v>126.4</v>
      </c>
      <c r="F97" s="54">
        <f t="shared" si="2"/>
        <v>0</v>
      </c>
      <c r="AMF97"/>
      <c r="AMG97"/>
      <c r="AMH97"/>
      <c r="AMI97"/>
      <c r="AMJ97"/>
    </row>
    <row r="98" spans="1:1024" s="21" customFormat="1">
      <c r="A98" s="76"/>
      <c r="B98" s="77"/>
      <c r="C98" s="42" t="s">
        <v>18</v>
      </c>
      <c r="D98" s="30"/>
      <c r="E98" s="30"/>
      <c r="F98" s="54">
        <f t="shared" si="2"/>
        <v>0</v>
      </c>
      <c r="AMF98"/>
      <c r="AMG98"/>
      <c r="AMH98"/>
      <c r="AMI98"/>
      <c r="AMJ98"/>
    </row>
    <row r="99" spans="1:1024" s="21" customFormat="1">
      <c r="A99" s="76"/>
      <c r="B99" s="77"/>
      <c r="C99" s="31" t="s">
        <v>19</v>
      </c>
      <c r="D99" s="35"/>
      <c r="E99" s="35"/>
      <c r="F99" s="54">
        <f t="shared" si="2"/>
        <v>0</v>
      </c>
      <c r="AMF99"/>
      <c r="AMG99"/>
      <c r="AMH99"/>
      <c r="AMI99"/>
      <c r="AMJ99"/>
    </row>
    <row r="100" spans="1:1024" s="27" customFormat="1" ht="35.450000000000003" customHeight="1">
      <c r="A100" s="76"/>
      <c r="B100" s="77"/>
      <c r="C100" s="31" t="s">
        <v>20</v>
      </c>
      <c r="D100" s="35">
        <v>126.4</v>
      </c>
      <c r="E100" s="35">
        <v>126.4</v>
      </c>
      <c r="F100" s="54">
        <f t="shared" si="2"/>
        <v>0</v>
      </c>
      <c r="AMF100"/>
      <c r="AMG100"/>
      <c r="AMH100"/>
      <c r="AMI100"/>
      <c r="AMJ100"/>
    </row>
    <row r="101" spans="1:1024" s="27" customFormat="1" ht="22.9" customHeight="1">
      <c r="A101" s="78" t="s">
        <v>82</v>
      </c>
      <c r="B101" s="79" t="s">
        <v>69</v>
      </c>
      <c r="C101" s="17" t="s">
        <v>17</v>
      </c>
      <c r="D101" s="35">
        <f>D102</f>
        <v>800</v>
      </c>
      <c r="E101" s="35">
        <f>E102</f>
        <v>800</v>
      </c>
      <c r="F101" s="54">
        <f t="shared" ref="F101:F112" si="3">E101-D101</f>
        <v>0</v>
      </c>
      <c r="AMF101"/>
      <c r="AMG101"/>
      <c r="AMH101"/>
      <c r="AMI101"/>
      <c r="AMJ101"/>
    </row>
    <row r="102" spans="1:1024" s="27" customFormat="1" ht="30" customHeight="1">
      <c r="A102" s="78"/>
      <c r="B102" s="79"/>
      <c r="C102" s="42" t="s">
        <v>23</v>
      </c>
      <c r="D102" s="35">
        <v>800</v>
      </c>
      <c r="E102" s="35">
        <v>800</v>
      </c>
      <c r="F102" s="54">
        <f t="shared" si="3"/>
        <v>0</v>
      </c>
      <c r="AMF102"/>
      <c r="AMG102"/>
      <c r="AMH102"/>
      <c r="AMI102"/>
      <c r="AMJ102"/>
    </row>
    <row r="103" spans="1:1024" s="21" customFormat="1" ht="26.25" customHeight="1">
      <c r="A103" s="56" t="s">
        <v>83</v>
      </c>
      <c r="B103" s="57" t="s">
        <v>84</v>
      </c>
      <c r="C103" s="17" t="s">
        <v>17</v>
      </c>
      <c r="D103" s="28">
        <f>SUM(D104:D106)</f>
        <v>14715.8</v>
      </c>
      <c r="E103" s="28">
        <f>SUM(E104:E106)</f>
        <v>14720.3</v>
      </c>
      <c r="F103" s="54">
        <f t="shared" si="3"/>
        <v>4.5</v>
      </c>
      <c r="AMF103"/>
      <c r="AMG103"/>
      <c r="AMH103"/>
      <c r="AMI103"/>
      <c r="AMJ103"/>
    </row>
    <row r="104" spans="1:1024" s="21" customFormat="1">
      <c r="A104" s="56"/>
      <c r="B104" s="57"/>
      <c r="C104" s="42" t="s">
        <v>22</v>
      </c>
      <c r="D104" s="30"/>
      <c r="E104" s="30"/>
      <c r="F104" s="54">
        <f t="shared" si="3"/>
        <v>0</v>
      </c>
      <c r="AMF104"/>
      <c r="AMG104"/>
      <c r="AMH104"/>
      <c r="AMI104"/>
      <c r="AMJ104"/>
    </row>
    <row r="105" spans="1:1024" s="21" customFormat="1">
      <c r="A105" s="56"/>
      <c r="B105" s="57"/>
      <c r="C105" s="31" t="s">
        <v>19</v>
      </c>
      <c r="D105" s="35"/>
      <c r="E105" s="35"/>
      <c r="F105" s="54">
        <f t="shared" si="3"/>
        <v>0</v>
      </c>
      <c r="AMF105"/>
      <c r="AMG105"/>
      <c r="AMH105"/>
      <c r="AMI105"/>
      <c r="AMJ105"/>
    </row>
    <row r="106" spans="1:1024" s="27" customFormat="1">
      <c r="A106" s="56"/>
      <c r="B106" s="57"/>
      <c r="C106" s="31" t="s">
        <v>20</v>
      </c>
      <c r="D106" s="35">
        <f>SUM(D110+D112)</f>
        <v>14715.8</v>
      </c>
      <c r="E106" s="35">
        <f>SUM(E110+E112)</f>
        <v>14720.3</v>
      </c>
      <c r="F106" s="54">
        <f t="shared" si="3"/>
        <v>4.5</v>
      </c>
      <c r="AMF106"/>
      <c r="AMG106"/>
      <c r="AMH106"/>
      <c r="AMI106"/>
      <c r="AMJ106"/>
    </row>
    <row r="107" spans="1:1024" s="27" customFormat="1" ht="19.350000000000001" customHeight="1">
      <c r="A107" s="56" t="s">
        <v>85</v>
      </c>
      <c r="B107" s="57" t="s">
        <v>86</v>
      </c>
      <c r="C107" s="49" t="s">
        <v>17</v>
      </c>
      <c r="D107" s="52">
        <f>SUM(D108:D110)</f>
        <v>1358.5</v>
      </c>
      <c r="E107" s="52">
        <f>SUM(E108:E110)</f>
        <v>1363</v>
      </c>
      <c r="F107" s="54">
        <f t="shared" si="3"/>
        <v>4.5</v>
      </c>
      <c r="AMF107"/>
      <c r="AMG107"/>
      <c r="AMH107"/>
      <c r="AMI107"/>
      <c r="AMJ107"/>
    </row>
    <row r="108" spans="1:1024" s="27" customFormat="1">
      <c r="A108" s="56"/>
      <c r="B108" s="57"/>
      <c r="C108" s="42" t="s">
        <v>22</v>
      </c>
      <c r="D108" s="35"/>
      <c r="E108" s="35"/>
      <c r="F108" s="54">
        <f t="shared" si="3"/>
        <v>0</v>
      </c>
      <c r="AMF108"/>
      <c r="AMG108"/>
      <c r="AMH108"/>
      <c r="AMI108"/>
      <c r="AMJ108"/>
    </row>
    <row r="109" spans="1:1024" s="27" customFormat="1">
      <c r="A109" s="56"/>
      <c r="B109" s="57"/>
      <c r="C109" s="31" t="s">
        <v>19</v>
      </c>
      <c r="D109" s="35"/>
      <c r="E109" s="35"/>
      <c r="F109" s="54">
        <f t="shared" si="3"/>
        <v>0</v>
      </c>
      <c r="AMF109"/>
      <c r="AMG109"/>
      <c r="AMH109"/>
      <c r="AMI109"/>
      <c r="AMJ109"/>
    </row>
    <row r="110" spans="1:1024" s="27" customFormat="1">
      <c r="A110" s="56"/>
      <c r="B110" s="57"/>
      <c r="C110" s="31" t="s">
        <v>20</v>
      </c>
      <c r="D110" s="35">
        <v>1358.5</v>
      </c>
      <c r="E110" s="35">
        <f>1358.5+4.5</f>
        <v>1363</v>
      </c>
      <c r="F110" s="54">
        <f t="shared" si="3"/>
        <v>4.5</v>
      </c>
      <c r="AMF110"/>
      <c r="AMG110"/>
      <c r="AMH110"/>
      <c r="AMI110"/>
      <c r="AMJ110"/>
    </row>
    <row r="111" spans="1:1024" s="27" customFormat="1" ht="39.75" customHeight="1">
      <c r="A111" s="34" t="s">
        <v>87</v>
      </c>
      <c r="B111" s="44" t="s">
        <v>88</v>
      </c>
      <c r="C111" s="49" t="s">
        <v>17</v>
      </c>
      <c r="D111" s="52">
        <f>SUM(D112)</f>
        <v>13357.3</v>
      </c>
      <c r="E111" s="52">
        <f>SUM(E112)</f>
        <v>13357.3</v>
      </c>
      <c r="F111" s="54">
        <f t="shared" si="3"/>
        <v>0</v>
      </c>
      <c r="AMF111"/>
      <c r="AMG111"/>
      <c r="AMH111"/>
      <c r="AMI111"/>
      <c r="AMJ111"/>
    </row>
    <row r="112" spans="1:1024" s="27" customFormat="1" ht="22.9" customHeight="1">
      <c r="A112" s="34"/>
      <c r="B112" s="44"/>
      <c r="C112" s="31" t="s">
        <v>20</v>
      </c>
      <c r="D112" s="35">
        <v>13357.3</v>
      </c>
      <c r="E112" s="35">
        <v>13357.3</v>
      </c>
      <c r="F112" s="54">
        <f t="shared" si="3"/>
        <v>0</v>
      </c>
      <c r="AMF112"/>
      <c r="AMG112"/>
      <c r="AMH112"/>
      <c r="AMI112"/>
      <c r="AMJ112"/>
    </row>
    <row r="116" spans="1:6" ht="18.75" customHeight="1">
      <c r="A116" s="58" t="s">
        <v>89</v>
      </c>
      <c r="B116" s="58"/>
      <c r="C116" s="58"/>
      <c r="D116" s="58"/>
      <c r="E116" s="58"/>
      <c r="F116" s="58"/>
    </row>
  </sheetData>
  <autoFilter ref="A4:F112"/>
  <mergeCells count="75">
    <mergeCell ref="B1:F1"/>
    <mergeCell ref="A3:A4"/>
    <mergeCell ref="B3:B4"/>
    <mergeCell ref="C3:C4"/>
    <mergeCell ref="A5:A8"/>
    <mergeCell ref="B5:B8"/>
    <mergeCell ref="A9:A12"/>
    <mergeCell ref="B9:B12"/>
    <mergeCell ref="A13:A16"/>
    <mergeCell ref="B13:B16"/>
    <mergeCell ref="A17:A18"/>
    <mergeCell ref="B17:B18"/>
    <mergeCell ref="A19:A20"/>
    <mergeCell ref="B19:B20"/>
    <mergeCell ref="A21:A24"/>
    <mergeCell ref="B21:B24"/>
    <mergeCell ref="A25:A26"/>
    <mergeCell ref="B25:B26"/>
    <mergeCell ref="A27:A28"/>
    <mergeCell ref="B27:B28"/>
    <mergeCell ref="A29:A30"/>
    <mergeCell ref="B29:B30"/>
    <mergeCell ref="A31:A34"/>
    <mergeCell ref="B31:B34"/>
    <mergeCell ref="A35:A38"/>
    <mergeCell ref="B35:B38"/>
    <mergeCell ref="A39:A40"/>
    <mergeCell ref="B39:B40"/>
    <mergeCell ref="A41:A43"/>
    <mergeCell ref="B41:B43"/>
    <mergeCell ref="A44:A46"/>
    <mergeCell ref="B44:B46"/>
    <mergeCell ref="A47:A48"/>
    <mergeCell ref="B47:B48"/>
    <mergeCell ref="A49:A52"/>
    <mergeCell ref="B49:B52"/>
    <mergeCell ref="A53:A54"/>
    <mergeCell ref="B53:B54"/>
    <mergeCell ref="A55:A56"/>
    <mergeCell ref="B55:B56"/>
    <mergeCell ref="A57:A58"/>
    <mergeCell ref="B57:B58"/>
    <mergeCell ref="A59:A62"/>
    <mergeCell ref="B59:B62"/>
    <mergeCell ref="A63:A66"/>
    <mergeCell ref="B63:B66"/>
    <mergeCell ref="A67:A68"/>
    <mergeCell ref="B67:B68"/>
    <mergeCell ref="A69:A72"/>
    <mergeCell ref="B69:B72"/>
    <mergeCell ref="A73:A74"/>
    <mergeCell ref="B73:B74"/>
    <mergeCell ref="A75:A76"/>
    <mergeCell ref="B75:B76"/>
    <mergeCell ref="A77:A79"/>
    <mergeCell ref="B77:B79"/>
    <mergeCell ref="A80:A82"/>
    <mergeCell ref="B80:B82"/>
    <mergeCell ref="A83:A86"/>
    <mergeCell ref="B83:B86"/>
    <mergeCell ref="A87:A88"/>
    <mergeCell ref="B87:B88"/>
    <mergeCell ref="A89:A92"/>
    <mergeCell ref="B89:B92"/>
    <mergeCell ref="A93:A96"/>
    <mergeCell ref="B93:B96"/>
    <mergeCell ref="A107:A110"/>
    <mergeCell ref="B107:B110"/>
    <mergeCell ref="A116:F116"/>
    <mergeCell ref="A97:A100"/>
    <mergeCell ref="B97:B100"/>
    <mergeCell ref="A101:A102"/>
    <mergeCell ref="B101:B102"/>
    <mergeCell ref="A103:A106"/>
    <mergeCell ref="B103:B106"/>
  </mergeCells>
  <pageMargins left="0.39374999999999999" right="0.39374999999999999" top="0.59027777777777801" bottom="0.51180555555555496" header="0.51180555555555496" footer="0.51180555555555496"/>
  <pageSetup paperSize="9" fitToHeight="4" orientation="portrait" useFirstPageNumber="1" horizontalDpi="300" verticalDpi="300"/>
  <rowBreaks count="3" manualBreakCount="3">
    <brk id="28" max="16383" man="1"/>
    <brk id="54" max="16383" man="1"/>
    <brk id="86" max="16383" man="1"/>
  </rowBreak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измененияфевраль 2025 г на 2025</vt:lpstr>
      <vt:lpstr>изменения январь 2025 г на 2025</vt:lpstr>
      <vt:lpstr>ПРОЕКТ на 2025-2027 гг</vt:lpstr>
      <vt:lpstr>Лист1</vt:lpstr>
      <vt:lpstr>в ксп</vt:lpstr>
      <vt:lpstr>'в ксп'!Excel_BuiltIn__FilterDatabase</vt:lpstr>
      <vt:lpstr>'ПРОЕКТ на 2025-2027 гг'!Excel_BuiltIn__FilterDatabase</vt:lpstr>
      <vt:lpstr>'в ксп'!Excel_BuiltIn_Print_Area</vt:lpstr>
      <vt:lpstr>'ПРОЕКТ на 2025-2027 гг'!Excel_BuiltIn_Print_Area</vt:lpstr>
      <vt:lpstr>'в ксп'!Excel_BuiltIn_Print_Titles</vt:lpstr>
      <vt:lpstr>'ПРОЕКТ на 2025-2027 гг'!Excel_BuiltIn_Print_Titles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</dc:creator>
  <dc:description/>
  <cp:lastModifiedBy>Tatyana</cp:lastModifiedBy>
  <cp:revision>18</cp:revision>
  <cp:lastPrinted>2025-03-17T11:33:01Z</cp:lastPrinted>
  <dcterms:created xsi:type="dcterms:W3CDTF">2024-12-20T09:38:32Z</dcterms:created>
  <dcterms:modified xsi:type="dcterms:W3CDTF">2025-03-25T06:06:50Z</dcterms:modified>
  <dc:language>ru-RU</dc:language>
</cp:coreProperties>
</file>